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8800" windowHeight="13272" firstSheet="1" activeTab="1"/>
  </bookViews>
  <sheets>
    <sheet name="Base Material Cost (old)" sheetId="4" state="hidden" r:id="rId1"/>
    <sheet name="Cost Summary" sheetId="5" r:id="rId2"/>
    <sheet name="Watts and Bins" sheetId="7" r:id="rId3"/>
    <sheet name="Base Inc Cost Findings" sheetId="6" r:id="rId4"/>
    <sheet name="Measure Material Cost" sheetId="1" r:id="rId5"/>
    <sheet name="Material Cost (many links)" sheetId="3" state="hidden" r:id="rId6"/>
    <sheet name="Labor Costs" sheetId="2" state="hidden" r:id="rId7"/>
  </sheets>
  <definedNames>
    <definedName name="_xlnm._FilterDatabase" localSheetId="3" hidden="1">'Base Inc Cost Findings'!$C$3:$G$38</definedName>
    <definedName name="_xlnm._FilterDatabase" localSheetId="1" hidden="1">'Cost Summary'!$B$12:$N$36</definedName>
    <definedName name="_xlnm._FilterDatabase" localSheetId="2" hidden="1">'Watts and Bins'!$A$1:$E$25</definedName>
    <definedName name="_xlnm.Print_Area" localSheetId="0">'Base Material Cost (old)'!$A$1:$D$87</definedName>
    <definedName name="_xlnm.Print_Area" localSheetId="4">'Measure Material Cost'!$A$1:$D$95</definedName>
  </definedNames>
  <calcPr calcId="1456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8" i="6" l="1"/>
  <c r="D64" i="6"/>
  <c r="D63" i="6"/>
  <c r="D62" i="6"/>
  <c r="D61" i="6"/>
  <c r="F41" i="6"/>
  <c r="F40" i="6"/>
  <c r="F39" i="6"/>
  <c r="D25" i="7"/>
  <c r="F25" i="7" l="1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F3" i="7"/>
  <c r="F2" i="7"/>
  <c r="D36" i="6"/>
  <c r="F36" i="6" s="1"/>
  <c r="D51" i="6" s="1"/>
  <c r="D37" i="6"/>
  <c r="D38" i="6"/>
  <c r="F38" i="6" s="1"/>
  <c r="F48" i="6"/>
  <c r="F46" i="6"/>
  <c r="F47" i="6"/>
  <c r="F37" i="6"/>
  <c r="F35" i="6"/>
  <c r="F34" i="6"/>
  <c r="F33" i="6"/>
  <c r="I36" i="5" l="1"/>
  <c r="G36" i="5"/>
  <c r="I35" i="5"/>
  <c r="G35" i="5"/>
  <c r="I34" i="5"/>
  <c r="G34" i="5"/>
  <c r="I33" i="5"/>
  <c r="G33" i="5"/>
  <c r="I32" i="5"/>
  <c r="G32" i="5"/>
  <c r="I31" i="5"/>
  <c r="G31" i="5"/>
  <c r="I30" i="5"/>
  <c r="G30" i="5"/>
  <c r="I29" i="5"/>
  <c r="G29" i="5"/>
  <c r="I28" i="5"/>
  <c r="G28" i="5"/>
  <c r="I27" i="5"/>
  <c r="G27" i="5"/>
  <c r="I26" i="5"/>
  <c r="G26" i="5"/>
  <c r="I25" i="5"/>
  <c r="G25" i="5"/>
  <c r="I24" i="5"/>
  <c r="G24" i="5"/>
  <c r="I23" i="5"/>
  <c r="G23" i="5"/>
  <c r="I22" i="5"/>
  <c r="G22" i="5"/>
  <c r="I21" i="5"/>
  <c r="G21" i="5"/>
  <c r="I20" i="5"/>
  <c r="G20" i="5"/>
  <c r="I19" i="5"/>
  <c r="G19" i="5"/>
  <c r="I18" i="5"/>
  <c r="G18" i="5"/>
  <c r="I17" i="5"/>
  <c r="G17" i="5"/>
  <c r="I16" i="5"/>
  <c r="H16" i="5"/>
  <c r="G16" i="5"/>
  <c r="I15" i="5"/>
  <c r="G15" i="5"/>
  <c r="I14" i="5"/>
  <c r="G14" i="5"/>
  <c r="I13" i="5"/>
  <c r="G13" i="5"/>
  <c r="F23" i="6"/>
  <c r="F22" i="6"/>
  <c r="F20" i="6"/>
  <c r="F19" i="6"/>
  <c r="D2" i="7"/>
  <c r="H26" i="5" s="1"/>
  <c r="D3" i="7"/>
  <c r="H28" i="5" s="1"/>
  <c r="D4" i="7"/>
  <c r="H27" i="5" s="1"/>
  <c r="D5" i="7"/>
  <c r="H20" i="5" s="1"/>
  <c r="D6" i="7"/>
  <c r="H21" i="5" s="1"/>
  <c r="D7" i="7"/>
  <c r="H23" i="5" s="1"/>
  <c r="D8" i="7"/>
  <c r="D9" i="7"/>
  <c r="D10" i="7"/>
  <c r="H18" i="5" s="1"/>
  <c r="D11" i="7"/>
  <c r="H30" i="5" s="1"/>
  <c r="D12" i="7"/>
  <c r="H32" i="5" s="1"/>
  <c r="D13" i="7"/>
  <c r="H14" i="5" s="1"/>
  <c r="D14" i="7"/>
  <c r="H19" i="5" s="1"/>
  <c r="D15" i="7"/>
  <c r="H31" i="5" s="1"/>
  <c r="D16" i="7"/>
  <c r="H34" i="5" s="1"/>
  <c r="D17" i="7"/>
  <c r="H29" i="5" s="1"/>
  <c r="D18" i="7"/>
  <c r="D19" i="7"/>
  <c r="H22" i="5" s="1"/>
  <c r="D20" i="7"/>
  <c r="H24" i="5" s="1"/>
  <c r="D21" i="7"/>
  <c r="D22" i="7"/>
  <c r="H17" i="5" s="1"/>
  <c r="D23" i="7"/>
  <c r="H33" i="5" s="1"/>
  <c r="D24" i="7"/>
  <c r="H36" i="5" s="1"/>
  <c r="H13" i="5"/>
  <c r="H15" i="5" l="1"/>
  <c r="H25" i="5"/>
  <c r="H35" i="5"/>
  <c r="B2" i="2"/>
  <c r="C47" i="1"/>
  <c r="C44" i="1"/>
  <c r="C34" i="1"/>
  <c r="C32" i="1"/>
  <c r="C35" i="1" s="1"/>
  <c r="G5" i="5" s="1"/>
  <c r="I5" i="5" s="1"/>
  <c r="C23" i="1"/>
  <c r="G6" i="5" s="1"/>
  <c r="I6" i="5" s="1"/>
  <c r="C21" i="1"/>
  <c r="C20" i="1"/>
  <c r="C10" i="1"/>
  <c r="C8" i="1"/>
  <c r="C11" i="1" s="1"/>
  <c r="G4" i="5" s="1"/>
  <c r="I4" i="5" s="1"/>
  <c r="B4" i="1"/>
  <c r="B5" i="1" s="1"/>
  <c r="F32" i="6"/>
  <c r="F31" i="6"/>
  <c r="F30" i="6"/>
  <c r="F29" i="6"/>
  <c r="F28" i="6"/>
  <c r="F27" i="6"/>
  <c r="F26" i="6"/>
  <c r="F25" i="6"/>
  <c r="F24" i="6"/>
  <c r="F21" i="6"/>
  <c r="F18" i="6"/>
  <c r="F17" i="6"/>
  <c r="F16" i="6"/>
  <c r="F15" i="6"/>
  <c r="F14" i="6"/>
  <c r="D57" i="6" s="1"/>
  <c r="F13" i="6"/>
  <c r="F12" i="6"/>
  <c r="F11" i="6"/>
  <c r="D54" i="6" s="1"/>
  <c r="F10" i="6"/>
  <c r="D53" i="6" s="1"/>
  <c r="F9" i="6"/>
  <c r="F8" i="6"/>
  <c r="F7" i="6"/>
  <c r="F6" i="6"/>
  <c r="F5" i="6"/>
  <c r="F4" i="6"/>
  <c r="G7" i="5"/>
  <c r="I7" i="5" s="1"/>
  <c r="B7" i="5"/>
  <c r="B6" i="5"/>
  <c r="B5" i="5"/>
  <c r="B4" i="5"/>
  <c r="L25" i="5" s="1"/>
  <c r="B1" i="4"/>
  <c r="B3" i="4" s="1"/>
  <c r="B4" i="4" s="1"/>
  <c r="B5" i="4" s="1"/>
  <c r="C5" i="5" l="1"/>
  <c r="E5" i="5" s="1"/>
  <c r="J5" i="5" s="1"/>
  <c r="D55" i="6"/>
  <c r="C6" i="5"/>
  <c r="E6" i="5" s="1"/>
  <c r="J6" i="5" s="1"/>
  <c r="D56" i="6"/>
  <c r="D52" i="6"/>
  <c r="C7" i="5"/>
  <c r="E7" i="5" s="1"/>
  <c r="J7" i="5" s="1"/>
  <c r="C4" i="5"/>
  <c r="E4" i="5" s="1"/>
  <c r="J4" i="5" s="1"/>
  <c r="L26" i="5"/>
  <c r="L28" i="5"/>
  <c r="K17" i="5"/>
  <c r="L23" i="5"/>
  <c r="L14" i="5"/>
  <c r="L31" i="5"/>
  <c r="L21" i="5"/>
  <c r="L19" i="5"/>
  <c r="L24" i="5"/>
  <c r="L18" i="5"/>
  <c r="L32" i="5"/>
  <c r="L20" i="5"/>
  <c r="L29" i="5"/>
  <c r="L17" i="5"/>
  <c r="L13" i="5"/>
  <c r="K26" i="5"/>
  <c r="K33" i="5"/>
  <c r="K22" i="5"/>
  <c r="K18" i="5"/>
  <c r="K15" i="5"/>
  <c r="L22" i="5"/>
  <c r="L15" i="5"/>
  <c r="K36" i="5"/>
  <c r="K16" i="5"/>
  <c r="K35" i="5"/>
  <c r="K34" i="5"/>
  <c r="K30" i="5"/>
  <c r="K27" i="5"/>
  <c r="K13" i="5"/>
  <c r="L33" i="5"/>
  <c r="L36" i="5"/>
  <c r="L16" i="5"/>
  <c r="L35" i="5"/>
  <c r="L34" i="5"/>
  <c r="L30" i="5"/>
  <c r="L27" i="5"/>
  <c r="K32" i="5"/>
  <c r="K19" i="5"/>
  <c r="K28" i="5"/>
  <c r="K24" i="5"/>
  <c r="K20" i="5"/>
  <c r="K14" i="5"/>
  <c r="K29" i="5"/>
  <c r="K31" i="5"/>
  <c r="K25" i="5"/>
  <c r="K21" i="5"/>
  <c r="K23" i="5"/>
  <c r="D24" i="5" l="1"/>
  <c r="E24" i="5" s="1"/>
  <c r="D35" i="5"/>
  <c r="E35" i="5" s="1"/>
  <c r="D29" i="5"/>
  <c r="E29" i="5" s="1"/>
  <c r="D22" i="5"/>
  <c r="E22" i="5" s="1"/>
  <c r="D28" i="5"/>
  <c r="E28" i="5" s="1"/>
  <c r="D20" i="5"/>
  <c r="E20" i="5" s="1"/>
  <c r="D27" i="5"/>
  <c r="E27" i="5" s="1"/>
  <c r="D26" i="5"/>
  <c r="E26" i="5" s="1"/>
  <c r="D25" i="5"/>
  <c r="E25" i="5" s="1"/>
  <c r="D21" i="5"/>
  <c r="E21" i="5" s="1"/>
  <c r="D23" i="5"/>
  <c r="E23" i="5" s="1"/>
  <c r="D36" i="5"/>
  <c r="E36" i="5" s="1"/>
  <c r="D16" i="5"/>
  <c r="E16" i="5" s="1"/>
  <c r="D13" i="5"/>
  <c r="E13" i="5" s="1"/>
  <c r="D33" i="5"/>
  <c r="E33" i="5" s="1"/>
  <c r="D17" i="5"/>
  <c r="E17" i="5" s="1"/>
  <c r="D19" i="5"/>
  <c r="E19" i="5" s="1"/>
  <c r="D34" i="5"/>
  <c r="E34" i="5" s="1"/>
  <c r="D18" i="5"/>
  <c r="E18" i="5" s="1"/>
  <c r="D32" i="5"/>
  <c r="E32" i="5" s="1"/>
  <c r="D31" i="5"/>
  <c r="E31" i="5" s="1"/>
  <c r="D15" i="5"/>
  <c r="E15" i="5" s="1"/>
  <c r="D30" i="5"/>
  <c r="E30" i="5" s="1"/>
  <c r="D14" i="5"/>
  <c r="E14" i="5" s="1"/>
</calcChain>
</file>

<file path=xl/sharedStrings.xml><?xml version="1.0" encoding="utf-8"?>
<sst xmlns="http://schemas.openxmlformats.org/spreadsheetml/2006/main" count="438" uniqueCount="221">
  <si>
    <t>Equipment Type</t>
  </si>
  <si>
    <t>Manufacturer/Model</t>
  </si>
  <si>
    <t>Cost</t>
  </si>
  <si>
    <t>Source</t>
  </si>
  <si>
    <t>Add Screen Shot</t>
  </si>
  <si>
    <t>Average Material Cost</t>
  </si>
  <si>
    <t>Source (URL, Resource, Etc)</t>
  </si>
  <si>
    <t>Equipment Type/ Description</t>
  </si>
  <si>
    <t>Est Shipping Cost</t>
  </si>
  <si>
    <t>Total Material Cost</t>
  </si>
  <si>
    <t>Est Tax</t>
  </si>
  <si>
    <t>Labor Desciption</t>
  </si>
  <si>
    <t>Total Labor Cost</t>
  </si>
  <si>
    <t>Install Recessed Troffer</t>
  </si>
  <si>
    <t>RS Means Electrical 2015 - xx.xxx.xx</t>
  </si>
  <si>
    <t>Screen Shot/Scan</t>
  </si>
  <si>
    <t>Total Measure Cost</t>
  </si>
  <si>
    <t xml:space="preserve">Misc. Labor Factor </t>
  </si>
  <si>
    <t>*Note No RS Means Labor Factor is Included</t>
  </si>
  <si>
    <t>Solution Code</t>
  </si>
  <si>
    <t>Solution Code Description</t>
  </si>
  <si>
    <t>Equipment Type/Description</t>
  </si>
  <si>
    <t>Manufacturer</t>
  </si>
  <si>
    <t>Link</t>
  </si>
  <si>
    <t>https://www.amazon.com/Leviton-9863-SEN-Fluorescent-Lampholder-Occupancy/dp/B004KZKN8K/ref=sr_1_4?s=hi&amp;ie=UTF8&amp;qid=1477600027&amp;sr=1-4&amp;keywords=cfl+fixtures&amp;refinements=p_n_feature_browse-bin%3A5676450011</t>
  </si>
  <si>
    <t>Leviton 9853-SEN</t>
  </si>
  <si>
    <t>27W Flood Light</t>
  </si>
  <si>
    <t>Utilitech GU8923-WH-I</t>
  </si>
  <si>
    <t>https://www.lowes.com/pd/Utilitech-23-Watt-White-Fluorescent-Dusk-to-Dawn-Flood-Light/3195237</t>
  </si>
  <si>
    <t>https://www.lowes.com/pd/Utilitech-26-Watt-Black-Fluorescent-Dusk-to-Dawn-Flood-Light/50031668</t>
  </si>
  <si>
    <t>Utilitech FW26PCUT</t>
  </si>
  <si>
    <t>26W Flood light</t>
  </si>
  <si>
    <t xml:space="preserve">13W CFL </t>
  </si>
  <si>
    <t>http://www.homedepot.com/p/Lithonia-Lighting-Wall-Mount-Outdoor-White-Fluorescent-Area-Light-OALS12A-65F-120-P-LP-WH-M2/202197739</t>
  </si>
  <si>
    <t>Lithonia OALS12A 65F 120 P LP WH M2</t>
  </si>
  <si>
    <t>http://www.homedepot.com/p/Lithonia-Lighting-Pewter-Incandescent-Outdoor-Flushmount-Vapor-Tight-Light-Fixture-OVT-150I-120-M6/100652873</t>
  </si>
  <si>
    <t>Pewter Incandescent Outdoor Fixture</t>
  </si>
  <si>
    <t>Lithonia OVT 150I 120 M6</t>
  </si>
  <si>
    <t>Incandescent Outdoor Fixture</t>
  </si>
  <si>
    <t>Polymer Products 2119-S50701P-DD</t>
  </si>
  <si>
    <t>http://www.homedepot.com/p/Polymer-Products-1-Light-Black-Outdoor-Incandescent-Short-Neck-Wall-Bracket-Fixture-with-Dusk-Dawn-Sensor-2119-S50701P-DD/205155155</t>
  </si>
  <si>
    <t>http://www.homedepot.com/p/Polymer-Products-1-Light-White-Outdoor-Incandescent-Short-Neck-Wall-Bracket-Fixture-with-Dusk-Dawn-Sensor-2120-S50701P-DD/205155159</t>
  </si>
  <si>
    <t>Polymer Products 2120-S50701P-DD</t>
  </si>
  <si>
    <t>http://www.homedepot.com/p/Lithonia-Lighting-Dusk-to-Dawn-Wall-Mount-Outdoor-Bronze-Fluorescent-Mini-Wall-Pack-OWP3-42F-120-BZ/202192984</t>
  </si>
  <si>
    <t>Lithonia OWP3 42F 120 BZ</t>
  </si>
  <si>
    <t>42W CFL</t>
  </si>
  <si>
    <t>65W CFL</t>
  </si>
  <si>
    <t>https://www.amazon.com/MaxLite-SK4HM651AC-65-Watt-Fluorescent-Outdoor/dp/B003BEEHCE/ref=sr_1_34?s=lawn-garden&amp;ie=UTF8&amp;qid=1478550034&amp;sr=1-34&amp;keywords=cfl+outdoor+fixture</t>
  </si>
  <si>
    <t>MaxLite SK4HM651AC</t>
  </si>
  <si>
    <t>https://www.amazon.com/Hubbell-Outdoor-NRG204BMS-Decorative-Wallpack/dp/B0092Q6TF8/ref=sr_1_35?s=lawn-garden&amp;ie=UTF8&amp;qid=1478550034&amp;sr=1-35&amp;keywords=cfl+outdoor+fixture</t>
  </si>
  <si>
    <t>Hubbell NRG204BMS</t>
  </si>
  <si>
    <t>Measure</t>
  </si>
  <si>
    <t>Installation Type</t>
  </si>
  <si>
    <t>Incremental Measure Cost</t>
  </si>
  <si>
    <t>Full Measure Cost</t>
  </si>
  <si>
    <t>1st Baseline</t>
  </si>
  <si>
    <t>2nd Baseline</t>
  </si>
  <si>
    <t>LT-10121</t>
  </si>
  <si>
    <t>ROB</t>
  </si>
  <si>
    <t>LT-10832</t>
  </si>
  <si>
    <t>LT-19247</t>
  </si>
  <si>
    <t>LT-19831</t>
  </si>
  <si>
    <t>LT-21096</t>
  </si>
  <si>
    <t>LT-21431</t>
  </si>
  <si>
    <t>LT-24983</t>
  </si>
  <si>
    <t>LT-27654</t>
  </si>
  <si>
    <t>LT-38956</t>
  </si>
  <si>
    <t>LT-43854</t>
  </si>
  <si>
    <t>LT-43988</t>
  </si>
  <si>
    <t>LT-53851</t>
  </si>
  <si>
    <t>LT-57223</t>
  </si>
  <si>
    <t>LT-57633</t>
  </si>
  <si>
    <t>LT-59488</t>
  </si>
  <si>
    <t>LT-69223</t>
  </si>
  <si>
    <t>LT-71631</t>
  </si>
  <si>
    <t>LT-72431</t>
  </si>
  <si>
    <t>LT-75483</t>
  </si>
  <si>
    <t>LT-81042</t>
  </si>
  <si>
    <t>LT-83098</t>
  </si>
  <si>
    <t>LT-83742</t>
  </si>
  <si>
    <t>LT-84213</t>
  </si>
  <si>
    <t>LT-91873</t>
  </si>
  <si>
    <t>http://www.sears.com/westinghouse-6482948-wall-lantern-with-dusk-to-dawn/p-SPM11911906316?plpSellerId=Tool%20Box%20Supply&amp;prdNo=3&amp;blockNo=3&amp;blockType=G3</t>
  </si>
  <si>
    <t>Westinghouse 6482900</t>
  </si>
  <si>
    <t>Wattage</t>
  </si>
  <si>
    <t>Light</t>
  </si>
  <si>
    <t>http://www.homedepot.com/p/Designers-Edge-100-Watt-Hammered-Black-Incandescent-Industrial-Wall-Work-Light-L1707SVBLK/206271879</t>
  </si>
  <si>
    <t>http://www.homedepot.com/p/Designers-Edge-100-Watt-Hammered-Black-Incandescent-Industrial-Ceiling-Work-Light-L1706BLK/206271878</t>
  </si>
  <si>
    <t>https://www.overstock.com/Home-Garden/Outdoor-Wall-Light-Lora-Black-Metal-Exterior-Light/12003845/product.html?refccid=XQ32CHAA2FUIK7SKEY2FBVRP34&amp;searchidx=0</t>
  </si>
  <si>
    <t>https://www.overstock.com/Home-Garden/Chloe-Transitional-1-light-Black-Outdoor-Wall-Lantern/10570979/product.html?refccid=XQ32CHAA2FUIK7SKEY2FBVRP34&amp;searchidx=1</t>
  </si>
  <si>
    <t>https://www.overstock.com/Home-Garden/Taysom-Oil-Rubbed-Bronze-Outdoor-Light-Fixture-with-Clear-Seedy-Glass/11903841/product.html?refccid=XQ32CHAA2FUIK7SKEY2FBVRP34&amp;searchidx=4</t>
  </si>
  <si>
    <t>https://www.overstock.com/Home-Garden/Kichler-Lighting-Transitional-1-light-Olde-Bronze-Outdoor-Wall-Lantern/11663586/product.html?refccid=XQ32CHAA2FUIK7SKEY2FBVRP34&amp;searchidx=5</t>
  </si>
  <si>
    <t>https://www.overstock.com/Home-Garden/Contemporary-1-light-Black-Outdoor-Wall-Light/10647111/product.html?refccid=XQ32CHAA2FUIK7SKEY2FBVRP34&amp;searchidx=8</t>
  </si>
  <si>
    <t>https://www.overstock.com/Home-Garden/Maxim-Bronze-Die-Cast-Aluminum-Shade-Essentials-9200X-2-light-Outdoor-Wall-Mount-Light/9961218/product.html?refccid=XQ32CHAA2FUIK7SKEY2FBVRP34&amp;searchidx=39</t>
  </si>
  <si>
    <t>https://www.grainger.com/product/DESIGNERS-EDGE-Motion-Light-38RZ85?s_pp=false&amp;picUrl=//static.grainger.com/rp/s/is/image/Grainger/38RZ85_AS01?$smthumb$&amp;breadcrumbCatId=12974</t>
  </si>
  <si>
    <t>https://www.grainger.com/product/LUMAPRO-Floodlight-WP23600/_/N-9hv/Ntt-outdoor+incandescent?sst=subset&amp;ts_optout=true&amp;s_pp=false&amp;picUrl=//static.grainger.com/rp/s/is/image/Grainger/6MPA6_AS01?$smthumb$&amp;breadcrumbCatId=4332</t>
  </si>
  <si>
    <t>http://www.homedepot.com/p/Glomar-1-Light-Textured-Black-Outdoor-Incandescent-Post-Light-HD-548/202646966</t>
  </si>
  <si>
    <t>http://www.homedepot.com/p/Newport-Coastal-8-in-White-Outdoor-Incandescent-Round-Nautical-Flushmount-with-Grille-7971-04W/203560998</t>
  </si>
  <si>
    <t>http://www.homedepot.com/p/Newport-Coastal-White-Outdoor-Incandescent-Wall-Mount-Coastal-Jelly-Jar-7791-30W/203570642</t>
  </si>
  <si>
    <t>http://www.homedepot.com/p/Newport-Coastal-10-25-in-Black-Outdoor-Incandescent-Nautical-Flushmount-7971-02B/203561000</t>
  </si>
  <si>
    <t>http://www.homedepot.com/p/Designers-Fountain-Basic-Porch-1-Light-White-Outdoor-Incandescent-Wall-Lantern-2061-WH/206847915</t>
  </si>
  <si>
    <t>http://www.homedepot.com/p/Lithonia-Lighting-150W-Incandescent-Utility-Vapor-Tight-Wall-Mount-Fixture-VW150I-M12/205507747</t>
  </si>
  <si>
    <t>http://www.homedepot.com/p/Lithonia-Lighting-300-Watt-Incandescent-Utility-Vapor-Tight-Wall-Mount-Fixture-VW300I-M6/205507748</t>
  </si>
  <si>
    <t>https://www.lowes.com/pd/Portfolio-GFCI-15-75-in-H-Black-Outdoor-Wall-Light/999919344</t>
  </si>
  <si>
    <t>https://www.lowes.com/pd/Portfolio-10-75-in-H-Sandy-Black-Outdoor-Wall-Light/50254135</t>
  </si>
  <si>
    <t>https://www.lowes.com/pd/Portfolio-7-17-in-H-Medium-Base-E-26-Black-Outdoor-Wall-Light/50106238</t>
  </si>
  <si>
    <t>https://www.lowes.com/pd/Sea-Gull-Lighting-Lormont-9-in-H-White-Outdoor-Wall-Light/50370064</t>
  </si>
  <si>
    <t>https://www.lowes.com/pd/Sea-Gull-Lighting-Wynfield-9-75-in-H-Black-Outdoor-Wall-Light/50370018</t>
  </si>
  <si>
    <t>https://www.lowes.com/pd/Progress-Lighting-7-25-in-H-Black-Outdoor-Wall-Light/50097998</t>
  </si>
  <si>
    <t>Photocell</t>
  </si>
  <si>
    <t>Total Mat</t>
  </si>
  <si>
    <t>Average Cost</t>
  </si>
  <si>
    <t>Watt Bin</t>
  </si>
  <si>
    <t>&lt;=60</t>
  </si>
  <si>
    <t>61-100</t>
  </si>
  <si>
    <t>101-150</t>
  </si>
  <si>
    <t>&gt;150</t>
  </si>
  <si>
    <t>https://www.prolighting.com/van2f9.html?utm_source=google_shopping&amp;gclid=CjwKEAiAyanCBRDkiO6M_rDroH0SJAAfZ4KLrlEbBdcJXq1wvHYyYeVPVUeQOg8h1g4gSEHlHQ9qaxoCPwvw_wcB</t>
  </si>
  <si>
    <t>RAB VAN2F9</t>
  </si>
  <si>
    <t>9W CFL</t>
  </si>
  <si>
    <t>http://www.homedepot.com/p/Filament-Design-Nexis-2-Light-Die-Cast-Aluminum-Compact-Fluorescent-Wall-Pack-Security-Light-CLI-EXXTL110CF84120277/203828501</t>
  </si>
  <si>
    <t>Filament Design CLI-EXXTL110CF84120277</t>
  </si>
  <si>
    <t>84W CFL</t>
  </si>
  <si>
    <t>Includes tax and shipping (if applicable)</t>
  </si>
  <si>
    <t>http://www.homedepot.com/p/Intermatic-CML-Series-42-Watt-Dark-Bronze-Outdoor-Fluorescent-Ceiling-Mount-Canopy-CML242FBL/206668918</t>
  </si>
  <si>
    <t>Intermatic CML242FBL</t>
  </si>
  <si>
    <t>Base Watt</t>
  </si>
  <si>
    <t>Base Mat</t>
  </si>
  <si>
    <t>Base Lab</t>
  </si>
  <si>
    <t>Measure Watt</t>
  </si>
  <si>
    <t>Measure Mat</t>
  </si>
  <si>
    <t>Measure Total</t>
  </si>
  <si>
    <t>Base Total</t>
  </si>
  <si>
    <t>Measure Lab</t>
  </si>
  <si>
    <t>IMC</t>
  </si>
  <si>
    <t>Measure Cost ID</t>
  </si>
  <si>
    <t>Base Cost ID</t>
  </si>
  <si>
    <t>SCE17LG007_00_B001</t>
  </si>
  <si>
    <t>SCE17LG007_00_M001</t>
  </si>
  <si>
    <t>SCE17LG007_00_M002</t>
  </si>
  <si>
    <t>SCE17LG007_00_B002</t>
  </si>
  <si>
    <t>SCE17LG007_00_M003</t>
  </si>
  <si>
    <t>SCE17LG007_00_B003</t>
  </si>
  <si>
    <t>SCE17LG007_00_M004</t>
  </si>
  <si>
    <t>SCE17LG007_00_B004</t>
  </si>
  <si>
    <t>Up to 70 Watt Exterior Fixture CFL replacing less than 100 Watt lamp base case</t>
  </si>
  <si>
    <t>65 Watt Exterior Fixture (Dwelling Area) CFL replacing Incandescent Total Watts = 2.84 x Msr Watts</t>
  </si>
  <si>
    <t>65 Watt Exterior Fixture (Common Area) CFL replacing Incandescent Total Watts = 2.84 x Msr Watts</t>
  </si>
  <si>
    <t>55 Watt Exterior Fixture (Dwelling Area) CFL replacing Incandescent Total Watts = 2.84 x Msr Watts</t>
  </si>
  <si>
    <t>55 Watt Exterior Fixture (Common Area) CFL replacing Incandescent Total Watts = 2.84 x Msr Watts</t>
  </si>
  <si>
    <t>50 Watt Exterior Fixture (Dwelling Area) CFL replacing Incandescent Total Watts = 2.84 x Msr Watts</t>
  </si>
  <si>
    <t>50 Watt Exterior Fixture (Common Area) CFL replacing Incandescent Total Watts = 2.84 x Msr Watts</t>
  </si>
  <si>
    <t>36 Watt Exterior Fixture (Dwelling Area) CFL replacing Incandescent Total Watts = 2.84 x Msr Watts</t>
  </si>
  <si>
    <t>36 Watt Exterior Fixture (Common Area) CFL replacing Incandescent Total Watts = 2.84 x Msr Watts</t>
  </si>
  <si>
    <t>27 Watt Exterior Fixture (Dwelling Area) CFL replacing Incandescent Total Watts = 2.84 x Msr Watts</t>
  </si>
  <si>
    <t>27 Watt Exterior Fixture (Common Area) CFL replacing Incandescent Total Watts = 2.84 x Msr Watts</t>
  </si>
  <si>
    <t>26 Watt Exterior Fixture (Dwelling Area) CFL replacing Incandescent Total Watts = 2.84 x Msr Watts</t>
  </si>
  <si>
    <t>26 Watt Exterior Fixture (Common Area) CFL replacing Incandescent Total Watts = 2.84 x Msr Watts</t>
  </si>
  <si>
    <t>23 Watt Exterior Fixture (Dwelling Area) CFL replacing Incandescent Total Watts = 2.84 x Msr Watts</t>
  </si>
  <si>
    <t>23 Watt Exterior Fixture (Common Area) CFL replacing Incandescent Total Watts = 2.84 x Msr Watts</t>
  </si>
  <si>
    <t>22 Watt Exterior Fixture (Dwelling Area) CFL replacing Incandescent Total Watts = 2.84 x Msr Watts</t>
  </si>
  <si>
    <t>22 Watt Exterior Fixture (Common Area) CFL replacing Incandescent Total Watts = 2.84 x Msr Watts</t>
  </si>
  <si>
    <t>20 Watt Exterior Fixture (Dwelling Area) CFL replacing Incandescent Total Watts = 2.84 x Msr Watts</t>
  </si>
  <si>
    <t>20 Watt Exterior Fixture (Common Area) CFL replacing Incandescent Total Watts = 2.84 x Msr Watts</t>
  </si>
  <si>
    <t>18 Watt Exterior Fixture (Dwelling Area) CFL replacing Incandescent Total Watts = 2.84 x Msr Watts</t>
  </si>
  <si>
    <t>18 Watt Exterior Fixture (Common Area) CFL replacing Incandescent Total Watts = 2.84 x Msr Watts</t>
  </si>
  <si>
    <t>18 Watt Exterior Fixture CFL replacing Incandescent Total Watts = 2.84 x Msr Watts</t>
  </si>
  <si>
    <t>13 Watt Exterior Fixture (Dwelling Area) CFL replacing Incandescent Total Watts = 2.84 x Msr Watts</t>
  </si>
  <si>
    <t>13 Watt Exterior Fixture (Common Area) CFL replacing Incandescent Total Watts = 2.84 x Msr Watts</t>
  </si>
  <si>
    <t>Est Base Watts</t>
  </si>
  <si>
    <t>Measure Watts</t>
  </si>
  <si>
    <t>http://www.1stoplighting.com/lighting/4-9-676-0-343360/Sunset-Lighting_One-Light-Outdoor-Wall-Mount-F4600-62.htm?CAWELAID=1705150171&amp;source=googleshopping&amp;kw=SunsetLighting-PLA_371;SunsetLighting-AllItems&amp;ac=&amp;gclid=CjwKEAiAp97CBRDr2Oyl-faxqRMSJABx4kh9twoMbV5A2ZNeHmTYAc8xMvpZV9FhYjc2c_76nSsK9RoCjCTw_wcB</t>
  </si>
  <si>
    <t>Bin</t>
  </si>
  <si>
    <t>http://www.illuminatorwholesaler.com/ecommerce/w-2700.html</t>
  </si>
  <si>
    <t>http://www.illuminatorwholesaler.com/ecommerce/w-2200.html</t>
  </si>
  <si>
    <t>https://www.iqlighting.com/rab-lighting-vb75bpa-vaporproof-entry-wall-polycarb-ball-gl-75w-incan-120v-bronze.asp</t>
  </si>
  <si>
    <t>Description</t>
  </si>
  <si>
    <t>Base Bin</t>
  </si>
  <si>
    <t>13W-20W</t>
  </si>
  <si>
    <t>22W-27W</t>
  </si>
  <si>
    <t>36W-50W</t>
  </si>
  <si>
    <t>55W-70W</t>
  </si>
  <si>
    <t>Equipment Type/ Description - 13W-20W</t>
  </si>
  <si>
    <t>Equipment Type - 55W-70W</t>
  </si>
  <si>
    <t>Equipment Type - 22W-26W</t>
  </si>
  <si>
    <t>26W Vandalproof CFL</t>
  </si>
  <si>
    <t>RAB VAN4F26</t>
  </si>
  <si>
    <t>https://www.prolighting.com/van4f26.html?utm_source=google_shopping&amp;gclid=CjwKEAiAp97CBRDr2Oyl-faxqRMSJABx4kh9-PYGd58_D1Sj3OcnLhrx8i7XbKh3TdB0dkMTil-tZBoCxE_w_wcB</t>
  </si>
  <si>
    <t>Equipment Type - 36W-50W</t>
  </si>
  <si>
    <t>Calculation Permutation</t>
  </si>
  <si>
    <t>(ROB//) - (Commercial////) - (/Financial Support: Down-Stream Incentive - Deemed////)</t>
  </si>
  <si>
    <t>(ROB//) - (//Multifamily//) - (Financial Support: Direct Install/////)</t>
  </si>
  <si>
    <t>(ROB//) - (//Multifamily//) - (Financial Support: Direct Install/Financial Support: Down-Stream Incentive - Deemed////)</t>
  </si>
  <si>
    <t>(ROB//) - (//Multifamily//) - (Financial Support: Direct Install//Up-Stream Programs: Up-Stream Incentive///)</t>
  </si>
  <si>
    <t>(ROB//) - (/Single Family///) - (Financial Support: Direct Install/////)</t>
  </si>
  <si>
    <t>Measure Tech ID</t>
  </si>
  <si>
    <t>N/A</t>
  </si>
  <si>
    <t>CFLfixt-26w-ext(26w)</t>
  </si>
  <si>
    <t>CFLfixt-22w-ext(22w)</t>
  </si>
  <si>
    <t>CFLfixt-55w-ext(55w)</t>
  </si>
  <si>
    <t>CFLfixt-18w-ext(18w)</t>
  </si>
  <si>
    <t>CFLfixt-50w-ext(50w)</t>
  </si>
  <si>
    <t>CFLfixt-20w-ext(20w)</t>
  </si>
  <si>
    <t>CFLfixt-13w-ext(13w)</t>
  </si>
  <si>
    <t>CFLfixt-36w-ext(36w)</t>
  </si>
  <si>
    <t>CFLfixt-23w-ext(23w)</t>
  </si>
  <si>
    <t>CFLfixt-27w-ext(27w)</t>
  </si>
  <si>
    <t>CFLfixt-65w-ext(65w)</t>
  </si>
  <si>
    <t>Lamp  Watt</t>
  </si>
  <si>
    <t>Average</t>
  </si>
  <si>
    <t>https://www.1000bulbs.com/product/113614/PLT-101429.html</t>
  </si>
  <si>
    <t>https://www.commercialbulbs.com/item/0009919?gclid=CjwKEAiAp97CBRDr2Oyl-faxqRMSJABx4kh9OfDCJgMl3WXO8F_yv2_3hWWjbiBTadEY1m2utOLg_RoCxNnw_wcB</t>
  </si>
  <si>
    <t>https://www.lightbulbs.com/product/sunlite-01101/?source=NexTagCSE</t>
  </si>
  <si>
    <t>https://www.wayfair.com/Sunset-Lighting-1-Light-Flush-Mount-F2400-31-F2400-62-L6086-K~SUNS1592.html?refid=GX107983286306-SUNS1592_10028930&amp;device=c&amp;ptid=154604491020&amp;PiID%5B%5D=10028930&amp;gclid=CjwKEAiAp97CBRDr2Oyl-faxqRMSJABx4kh9JYynBL16DahLV0vo_MwU9GdY5MVvWU10oS852YuTCBoCS0Tw_wcB</t>
  </si>
  <si>
    <t>https://www.lightingdirect.com/sunset-lighting-f2402-2-light-outdoor-10-wide-flush-mount-ceiling-fixture/p2151007?gclid=CjwKEAiAp97CBRDr2Oyl-faxqRMSJABx4kh9nOTrd-Lb9acY3ZGIPCyU94p1WoxNsn_AdlATaUktcxoCxKrw_wcB&amp;source=gg-gba-pla_2151007____52721143289&amp;s_kwcid=AL!3805!3!52721143289!!!g!86421791969!&amp;CAWELAID=120135400003247754&amp;CAGPSPN=pla&amp;CAAGID=15605150729&amp;CATCI=pla-86421791969</t>
  </si>
  <si>
    <t>http://www.efaucets.com/detail.asp?product_id=LUM-F2400-31</t>
  </si>
  <si>
    <t>(ROB//) - (//Multifamily//) - (Financial Support: Direct Install//Up-Stream Programs: Up-Stream Buy Down///)</t>
  </si>
  <si>
    <t xml:space="preserve">Note: 40W fixtures did not include lamps so Average lamp price was found and added to fixture pricing. </t>
  </si>
  <si>
    <t>http://www.wholesalecontractorsupply.com/200w-incadescent-VIW-3-4-200-p/viw-3-4-200.htm</t>
  </si>
  <si>
    <t>http://www.wholesalecontractorsupply.com/300w-box-mount-VIB-1-2-300-p/vib-1-2-300.htm</t>
  </si>
  <si>
    <t>http://www.wholesalecontractorsupply.com/300w-wall-mount-vapor-VIW-1-2-300-p/viw-1-2-300.htm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</si>
</sst>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2" fillId="0" borderId="1" xfId="0" applyFont="1" applyBorder="1"/>
    <xf numFmtId="0" fontId="3" fillId="2" borderId="0" xfId="0" applyFont="1" applyFill="1"/>
    <xf numFmtId="0" fontId="0" fillId="2" borderId="0" xfId="0" applyFill="1"/>
    <xf numFmtId="0" fontId="4" fillId="0" borderId="1" xfId="2" applyBorder="1"/>
    <xf numFmtId="164" fontId="0" fillId="0" borderId="1" xfId="0" applyNumberFormat="1" applyFont="1" applyBorder="1"/>
    <xf numFmtId="9" fontId="0" fillId="0" borderId="1" xfId="1" applyFont="1" applyBorder="1"/>
    <xf numFmtId="0" fontId="0" fillId="0" borderId="2" xfId="0" applyBorder="1"/>
    <xf numFmtId="164" fontId="0" fillId="0" borderId="2" xfId="0" applyNumberFormat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3" fillId="2" borderId="6" xfId="0" applyFont="1" applyFill="1" applyBorder="1"/>
    <xf numFmtId="0" fontId="0" fillId="2" borderId="0" xfId="0" applyFill="1" applyBorder="1"/>
    <xf numFmtId="0" fontId="0" fillId="2" borderId="7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5" fillId="0" borderId="1" xfId="0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right"/>
    </xf>
    <xf numFmtId="0" fontId="6" fillId="0" borderId="0" xfId="0" applyFont="1"/>
    <xf numFmtId="0" fontId="0" fillId="0" borderId="1" xfId="0" applyBorder="1" applyAlignment="1">
      <alignment wrapText="1"/>
    </xf>
    <xf numFmtId="164" fontId="2" fillId="2" borderId="0" xfId="0" applyNumberFormat="1" applyFont="1" applyFill="1"/>
    <xf numFmtId="44" fontId="0" fillId="0" borderId="1" xfId="3" applyFont="1" applyBorder="1"/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horizontal="right" vertical="center"/>
    </xf>
    <xf numFmtId="0" fontId="4" fillId="0" borderId="14" xfId="2" applyBorder="1" applyAlignment="1">
      <alignment vertical="center"/>
    </xf>
    <xf numFmtId="44" fontId="7" fillId="0" borderId="14" xfId="3" applyFont="1" applyBorder="1" applyAlignment="1">
      <alignment vertical="center"/>
    </xf>
    <xf numFmtId="0" fontId="2" fillId="3" borderId="1" xfId="0" applyFont="1" applyFill="1" applyBorder="1"/>
    <xf numFmtId="0" fontId="0" fillId="3" borderId="1" xfId="0" applyFill="1" applyBorder="1"/>
    <xf numFmtId="44" fontId="0" fillId="3" borderId="1" xfId="3" applyFont="1" applyFill="1" applyBorder="1"/>
    <xf numFmtId="44" fontId="0" fillId="0" borderId="1" xfId="0" applyNumberFormat="1" applyBorder="1"/>
    <xf numFmtId="16" fontId="0" fillId="0" borderId="1" xfId="0" applyNumberFormat="1" applyBorder="1"/>
    <xf numFmtId="0" fontId="0" fillId="0" borderId="1" xfId="0" applyFill="1" applyBorder="1"/>
    <xf numFmtId="0" fontId="8" fillId="0" borderId="1" xfId="0" applyFont="1" applyBorder="1" applyAlignment="1">
      <alignment vertical="center" wrapText="1"/>
    </xf>
    <xf numFmtId="164" fontId="0" fillId="0" borderId="1" xfId="3" applyNumberFormat="1" applyFont="1" applyFill="1" applyBorder="1" applyAlignment="1">
      <alignment horizontal="right"/>
    </xf>
    <xf numFmtId="164" fontId="0" fillId="0" borderId="1" xfId="3" applyNumberFormat="1" applyFont="1" applyFill="1" applyBorder="1"/>
    <xf numFmtId="0" fontId="0" fillId="0" borderId="15" xfId="0" applyFill="1" applyBorder="1"/>
    <xf numFmtId="0" fontId="4" fillId="0" borderId="0" xfId="2"/>
    <xf numFmtId="44" fontId="0" fillId="0" borderId="0" xfId="3" applyFont="1"/>
    <xf numFmtId="1" fontId="7" fillId="0" borderId="0" xfId="3" applyNumberFormat="1" applyFont="1" applyFill="1" applyBorder="1" applyAlignment="1">
      <alignment vertical="center"/>
    </xf>
    <xf numFmtId="44" fontId="0" fillId="0" borderId="0" xfId="0" applyNumberFormat="1"/>
    <xf numFmtId="0" fontId="7" fillId="0" borderId="0" xfId="0" applyFont="1" applyBorder="1" applyAlignment="1">
      <alignment horizontal="right" vertical="center"/>
    </xf>
    <xf numFmtId="44" fontId="7" fillId="0" borderId="0" xfId="3" applyFont="1" applyBorder="1" applyAlignment="1">
      <alignment vertical="center"/>
    </xf>
    <xf numFmtId="0" fontId="4" fillId="0" borderId="0" xfId="2" applyBorder="1" applyAlignment="1">
      <alignment vertical="center"/>
    </xf>
    <xf numFmtId="0" fontId="0" fillId="0" borderId="1" xfId="0" applyBorder="1" applyAlignment="1">
      <alignment horizontal="center"/>
    </xf>
  </cellXfs>
  <cellStyles count="4">
    <cellStyle name="Currency" xfId="3" builtinId="4"/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jpeg"/><Relationship Id="rId3" Type="http://schemas.openxmlformats.org/officeDocument/2006/relationships/image" Target="../media/image6.jpeg"/><Relationship Id="rId7" Type="http://schemas.openxmlformats.org/officeDocument/2006/relationships/image" Target="../media/image10.jpeg"/><Relationship Id="rId12" Type="http://schemas.openxmlformats.org/officeDocument/2006/relationships/image" Target="../media/image15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Relationship Id="rId6" Type="http://schemas.openxmlformats.org/officeDocument/2006/relationships/image" Target="../media/image9.jpeg"/><Relationship Id="rId11" Type="http://schemas.openxmlformats.org/officeDocument/2006/relationships/image" Target="../media/image14.jpeg"/><Relationship Id="rId5" Type="http://schemas.openxmlformats.org/officeDocument/2006/relationships/image" Target="../media/image8.jpeg"/><Relationship Id="rId10" Type="http://schemas.openxmlformats.org/officeDocument/2006/relationships/image" Target="../media/image13.jpeg"/><Relationship Id="rId4" Type="http://schemas.openxmlformats.org/officeDocument/2006/relationships/image" Target="../media/image7.jpeg"/><Relationship Id="rId9" Type="http://schemas.openxmlformats.org/officeDocument/2006/relationships/image" Target="../media/image1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</xdr:row>
      <xdr:rowOff>95249</xdr:rowOff>
    </xdr:from>
    <xdr:to>
      <xdr:col>0</xdr:col>
      <xdr:colOff>2503714</xdr:colOff>
      <xdr:row>15</xdr:row>
      <xdr:rowOff>1267967</xdr:rowOff>
    </xdr:to>
    <xdr:pic>
      <xdr:nvPicPr>
        <xdr:cNvPr id="4" name="Picture 3" descr="http://www.homedepot.com/catalog/productImages/1000/29/2989cf39-6f3a-472d-98fe-a6b656b130e5_100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32856"/>
          <a:ext cx="2503714" cy="25062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81643</xdr:rowOff>
    </xdr:from>
    <xdr:to>
      <xdr:col>0</xdr:col>
      <xdr:colOff>1469571</xdr:colOff>
      <xdr:row>26</xdr:row>
      <xdr:rowOff>27634</xdr:rowOff>
    </xdr:to>
    <xdr:pic>
      <xdr:nvPicPr>
        <xdr:cNvPr id="5" name="Picture 4" descr="http://www.homedepot.com/catalog/productImages/1000/a1/a1242a50-6501-4243-8877-f3484944f0f1_1000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21679"/>
          <a:ext cx="1469571" cy="14699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</xdr:colOff>
      <xdr:row>28</xdr:row>
      <xdr:rowOff>1</xdr:rowOff>
    </xdr:from>
    <xdr:to>
      <xdr:col>0</xdr:col>
      <xdr:colOff>1524001</xdr:colOff>
      <xdr:row>36</xdr:row>
      <xdr:rowOff>437</xdr:rowOff>
    </xdr:to>
    <xdr:pic>
      <xdr:nvPicPr>
        <xdr:cNvPr id="6" name="Picture 5" descr="http://www.homedepot.com/catalog/productImages/1000/65/655ec230-b18b-459b-809e-ff4a9a591577_1000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6545037"/>
          <a:ext cx="1524000" cy="15244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1374322</xdr:colOff>
      <xdr:row>10</xdr:row>
      <xdr:rowOff>68036</xdr:rowOff>
    </xdr:from>
    <xdr:to>
      <xdr:col>0</xdr:col>
      <xdr:colOff>3440134</xdr:colOff>
      <xdr:row>17</xdr:row>
      <xdr:rowOff>1281413</xdr:rowOff>
    </xdr:to>
    <xdr:pic>
      <xdr:nvPicPr>
        <xdr:cNvPr id="3" name="Picture 2" descr="https://images-na.ssl-images-amazon.com/images/I/61L-sCsiIVL._SL1037_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4322" y="1605643"/>
          <a:ext cx="2068286" cy="25468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</xdr:colOff>
      <xdr:row>34</xdr:row>
      <xdr:rowOff>122464</xdr:rowOff>
    </xdr:from>
    <xdr:to>
      <xdr:col>0</xdr:col>
      <xdr:colOff>1306326</xdr:colOff>
      <xdr:row>41</xdr:row>
      <xdr:rowOff>95704</xdr:rowOff>
    </xdr:to>
    <xdr:pic>
      <xdr:nvPicPr>
        <xdr:cNvPr id="7" name="Picture 6" descr="Product Imag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7429500"/>
          <a:ext cx="1306325" cy="1306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23</xdr:row>
      <xdr:rowOff>1</xdr:rowOff>
    </xdr:from>
    <xdr:to>
      <xdr:col>1</xdr:col>
      <xdr:colOff>1183821</xdr:colOff>
      <xdr:row>29</xdr:row>
      <xdr:rowOff>131885</xdr:rowOff>
    </xdr:to>
    <xdr:pic>
      <xdr:nvPicPr>
        <xdr:cNvPr id="10" name="Picture 9" descr="http://www.homedepot.com/catalog/productImages/1000/0a/0a1d41d7-2c0e-472a-93b9-ef4481bfcd6c_1000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2429" y="5592537"/>
          <a:ext cx="1183821" cy="12748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163286</xdr:colOff>
      <xdr:row>46</xdr:row>
      <xdr:rowOff>40821</xdr:rowOff>
    </xdr:from>
    <xdr:to>
      <xdr:col>3</xdr:col>
      <xdr:colOff>1292678</xdr:colOff>
      <xdr:row>53</xdr:row>
      <xdr:rowOff>140560</xdr:rowOff>
    </xdr:to>
    <xdr:pic>
      <xdr:nvPicPr>
        <xdr:cNvPr id="14" name="Picture 13" descr="https://images-na.ssl-images-amazon.com/images/I/41FgDyaNOUL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2715" y="10014857"/>
          <a:ext cx="1129392" cy="14332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34</xdr:row>
      <xdr:rowOff>68034</xdr:rowOff>
    </xdr:from>
    <xdr:to>
      <xdr:col>3</xdr:col>
      <xdr:colOff>1428777</xdr:colOff>
      <xdr:row>41</xdr:row>
      <xdr:rowOff>163765</xdr:rowOff>
    </xdr:to>
    <xdr:pic>
      <xdr:nvPicPr>
        <xdr:cNvPr id="15" name="Picture 14" descr="Product Image 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69429" y="7756070"/>
          <a:ext cx="1428777" cy="14292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40822</xdr:colOff>
      <xdr:row>22</xdr:row>
      <xdr:rowOff>95250</xdr:rowOff>
    </xdr:from>
    <xdr:to>
      <xdr:col>3</xdr:col>
      <xdr:colOff>1415143</xdr:colOff>
      <xdr:row>29</xdr:row>
      <xdr:rowOff>136071</xdr:rowOff>
    </xdr:to>
    <xdr:pic>
      <xdr:nvPicPr>
        <xdr:cNvPr id="16" name="Picture 15" descr="https://images-na.ssl-images-amazon.com/images/I/21%2BvV5cb%2BSL.jp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1" y="5497286"/>
          <a:ext cx="1374321" cy="13743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1319893</xdr:colOff>
      <xdr:row>12</xdr:row>
      <xdr:rowOff>81643</xdr:rowOff>
    </xdr:from>
    <xdr:to>
      <xdr:col>3</xdr:col>
      <xdr:colOff>3071578</xdr:colOff>
      <xdr:row>17</xdr:row>
      <xdr:rowOff>993322</xdr:rowOff>
    </xdr:to>
    <xdr:pic>
      <xdr:nvPicPr>
        <xdr:cNvPr id="18" name="Picture 17" descr="http://www.homedepot.com/catalog/productImages/1000/86/86e6b8c1-ba1a-4258-8690-3c76d35d8848_1000.jpg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9322" y="2381250"/>
          <a:ext cx="1751685" cy="1864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1034144</xdr:colOff>
      <xdr:row>11</xdr:row>
      <xdr:rowOff>68036</xdr:rowOff>
    </xdr:from>
    <xdr:to>
      <xdr:col>3</xdr:col>
      <xdr:colOff>639536</xdr:colOff>
      <xdr:row>17</xdr:row>
      <xdr:rowOff>1204934</xdr:rowOff>
    </xdr:to>
    <xdr:pic>
      <xdr:nvPicPr>
        <xdr:cNvPr id="17" name="Picture 16" descr="https://smhttp-ssl-40934.nexcesscdn.net/media/catalog/product/cache/1/image/9df78eab33525d08d6e5fb8d27136e95/p/r/pro-lighting_2273_167589444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6573" y="2177143"/>
          <a:ext cx="2272392" cy="22798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367394</xdr:colOff>
      <xdr:row>46</xdr:row>
      <xdr:rowOff>68036</xdr:rowOff>
    </xdr:from>
    <xdr:to>
      <xdr:col>0</xdr:col>
      <xdr:colOff>1551214</xdr:colOff>
      <xdr:row>52</xdr:row>
      <xdr:rowOff>109194</xdr:rowOff>
    </xdr:to>
    <xdr:pic>
      <xdr:nvPicPr>
        <xdr:cNvPr id="20" name="Picture 19" descr="http://www.homedepot.com/catalog/productImages/1000/c5/c5291a56-61cd-4157-8f5b-81fc35dfdc2b_1000.jpg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394" y="10042072"/>
          <a:ext cx="1183820" cy="11841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326570</xdr:colOff>
      <xdr:row>46</xdr:row>
      <xdr:rowOff>54428</xdr:rowOff>
    </xdr:from>
    <xdr:to>
      <xdr:col>1</xdr:col>
      <xdr:colOff>1238249</xdr:colOff>
      <xdr:row>52</xdr:row>
      <xdr:rowOff>143427</xdr:rowOff>
    </xdr:to>
    <xdr:pic>
      <xdr:nvPicPr>
        <xdr:cNvPr id="21" name="Picture 20" descr="http://www.homedepot.com/catalog/productImages/1000/16/16a3a893-48fb-4ac5-85d7-232e8c74b6ef_1000.jpg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8999" y="10028464"/>
          <a:ext cx="911679" cy="1231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149678</xdr:colOff>
      <xdr:row>22</xdr:row>
      <xdr:rowOff>54430</xdr:rowOff>
    </xdr:from>
    <xdr:to>
      <xdr:col>0</xdr:col>
      <xdr:colOff>1537607</xdr:colOff>
      <xdr:row>29</xdr:row>
      <xdr:rowOff>109256</xdr:rowOff>
    </xdr:to>
    <xdr:pic>
      <xdr:nvPicPr>
        <xdr:cNvPr id="23" name="Picture 22" descr="http://www.homedepot.com/catalog/productImages/1000/37/37d7e859-0bee-4f61-ac91-ca2caa271060_1000.jpg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678" y="5456466"/>
          <a:ext cx="1387929" cy="13883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231322</xdr:colOff>
      <xdr:row>35</xdr:row>
      <xdr:rowOff>13606</xdr:rowOff>
    </xdr:from>
    <xdr:to>
      <xdr:col>1</xdr:col>
      <xdr:colOff>1428750</xdr:colOff>
      <xdr:row>41</xdr:row>
      <xdr:rowOff>38829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333751" y="7892142"/>
          <a:ext cx="1197428" cy="11682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homedepot.com/p/Polymer-Products-1-Light-White-Outdoor-Incandescent-Short-Neck-Wall-Bracket-Fixture-with-Dusk-Dawn-Sensor-2120-S50701P-DD/205155159" TargetMode="External"/><Relationship Id="rId2" Type="http://schemas.openxmlformats.org/officeDocument/2006/relationships/hyperlink" Target="http://www.homedepot.com/p/Polymer-Products-1-Light-Black-Outdoor-Incandescent-Short-Neck-Wall-Bracket-Fixture-with-Dusk-Dawn-Sensor-2119-S50701P-DD/205155155" TargetMode="External"/><Relationship Id="rId1" Type="http://schemas.openxmlformats.org/officeDocument/2006/relationships/hyperlink" Target="http://www.homedepot.com/p/Lithonia-Lighting-Pewter-Incandescent-Outdoor-Flushmount-Vapor-Tight-Light-Fixture-OVT-150I-120-M6/100652873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overstock.com/Home-Garden/Maxim-Bronze-Die-Cast-Aluminum-Shade-Essentials-9200X-2-light-Outdoor-Wall-Mount-Light/9961218/product.html?refccid=XQ32CHAA2FUIK7SKEY2FBVRP34&amp;searchidx=39" TargetMode="External"/><Relationship Id="rId13" Type="http://schemas.openxmlformats.org/officeDocument/2006/relationships/hyperlink" Target="http://www.homedepot.com/p/Newport-Coastal-8-in-White-Outdoor-Incandescent-Round-Nautical-Flushmount-with-Grille-7971-04W/203560998" TargetMode="External"/><Relationship Id="rId18" Type="http://schemas.openxmlformats.org/officeDocument/2006/relationships/hyperlink" Target="http://www.homedepot.com/p/Lithonia-Lighting-150W-Incandescent-Utility-Vapor-Tight-Wall-Mount-Fixture-VW150I-M12/205507747" TargetMode="External"/><Relationship Id="rId26" Type="http://schemas.openxmlformats.org/officeDocument/2006/relationships/hyperlink" Target="https://www.lowes.com/pd/Progress-Lighting-7-25-in-H-Black-Outdoor-Wall-Light/50097998" TargetMode="External"/><Relationship Id="rId3" Type="http://schemas.openxmlformats.org/officeDocument/2006/relationships/hyperlink" Target="https://www.overstock.com/Home-Garden/Outdoor-Wall-Light-Lora-Black-Metal-Exterior-Light/12003845/product.html?refccid=XQ32CHAA2FUIK7SKEY2FBVRP34&amp;searchidx=0" TargetMode="External"/><Relationship Id="rId21" Type="http://schemas.openxmlformats.org/officeDocument/2006/relationships/hyperlink" Target="https://www.lowes.com/pd/Portfolio-10-75-in-H-Sandy-Black-Outdoor-Wall-Light/50254135" TargetMode="External"/><Relationship Id="rId7" Type="http://schemas.openxmlformats.org/officeDocument/2006/relationships/hyperlink" Target="https://www.overstock.com/Home-Garden/Contemporary-1-light-Black-Outdoor-Wall-Light/10647111/product.html?refccid=XQ32CHAA2FUIK7SKEY2FBVRP34&amp;searchidx=8" TargetMode="External"/><Relationship Id="rId12" Type="http://schemas.openxmlformats.org/officeDocument/2006/relationships/hyperlink" Target="http://www.homedepot.com/p/Glomar-1-Light-Textured-Black-Outdoor-Incandescent-Post-Light-HD-548/202646966" TargetMode="External"/><Relationship Id="rId17" Type="http://schemas.openxmlformats.org/officeDocument/2006/relationships/hyperlink" Target="http://www.homedepot.com/p/Lithonia-Lighting-Pewter-Incandescent-Outdoor-Flushmount-Vapor-Tight-Light-Fixture-OVT-150I-120-M6/100652873" TargetMode="External"/><Relationship Id="rId25" Type="http://schemas.openxmlformats.org/officeDocument/2006/relationships/hyperlink" Target="https://www.lowes.com/pd/Progress-Lighting-7-25-in-H-Black-Outdoor-Wall-Light/50097998" TargetMode="External"/><Relationship Id="rId2" Type="http://schemas.openxmlformats.org/officeDocument/2006/relationships/hyperlink" Target="http://www.homedepot.com/p/Designers-Edge-100-Watt-Hammered-Black-Incandescent-Industrial-Ceiling-Work-Light-L1706BLK/206271878" TargetMode="External"/><Relationship Id="rId16" Type="http://schemas.openxmlformats.org/officeDocument/2006/relationships/hyperlink" Target="http://www.homedepot.com/p/Designers-Fountain-Basic-Porch-1-Light-White-Outdoor-Incandescent-Wall-Lantern-2061-WH/206847915" TargetMode="External"/><Relationship Id="rId20" Type="http://schemas.openxmlformats.org/officeDocument/2006/relationships/hyperlink" Target="https://www.lowes.com/pd/Portfolio-GFCI-15-75-in-H-Black-Outdoor-Wall-Light/999919344" TargetMode="External"/><Relationship Id="rId29" Type="http://schemas.openxmlformats.org/officeDocument/2006/relationships/hyperlink" Target="http://www.wholesalecontractorsupply.com/200w-incadescent-VIW-3-4-200-p/viw-3-4-200.htm" TargetMode="External"/><Relationship Id="rId1" Type="http://schemas.openxmlformats.org/officeDocument/2006/relationships/hyperlink" Target="http://www.homedepot.com/p/Designers-Edge-100-Watt-Hammered-Black-Incandescent-Industrial-Wall-Work-Light-L1707SVBLK/206271879" TargetMode="External"/><Relationship Id="rId6" Type="http://schemas.openxmlformats.org/officeDocument/2006/relationships/hyperlink" Target="https://www.overstock.com/Home-Garden/Kichler-Lighting-Transitional-1-light-Olde-Bronze-Outdoor-Wall-Lantern/11663586/product.html?refccid=XQ32CHAA2FUIK7SKEY2FBVRP34&amp;searchidx=5" TargetMode="External"/><Relationship Id="rId11" Type="http://schemas.openxmlformats.org/officeDocument/2006/relationships/hyperlink" Target="https://www.grainger.com/product/LUMAPRO-Floodlight-WP23600/_/N-9hv/Ntt-outdoor+incandescent?sst=subset&amp;ts_optout=true&amp;s_pp=false&amp;picUrl=//static.grainger.com/rp/s/is/image/Grainger/6MPA6_AS01?$smthumb$&amp;breadcrumbCatId=4332" TargetMode="External"/><Relationship Id="rId24" Type="http://schemas.openxmlformats.org/officeDocument/2006/relationships/hyperlink" Target="https://www.lowes.com/pd/Sea-Gull-Lighting-Wynfield-9-75-in-H-Black-Outdoor-Wall-Light/50370018" TargetMode="External"/><Relationship Id="rId32" Type="http://schemas.openxmlformats.org/officeDocument/2006/relationships/printerSettings" Target="../printerSettings/printerSettings3.bin"/><Relationship Id="rId5" Type="http://schemas.openxmlformats.org/officeDocument/2006/relationships/hyperlink" Target="https://www.overstock.com/Home-Garden/Taysom-Oil-Rubbed-Bronze-Outdoor-Light-Fixture-with-Clear-Seedy-Glass/11903841/product.html?refccid=XQ32CHAA2FUIK7SKEY2FBVRP34&amp;searchidx=4" TargetMode="External"/><Relationship Id="rId15" Type="http://schemas.openxmlformats.org/officeDocument/2006/relationships/hyperlink" Target="http://www.homedepot.com/p/Newport-Coastal-10-25-in-Black-Outdoor-Incandescent-Nautical-Flushmount-7971-02B/203561000" TargetMode="External"/><Relationship Id="rId23" Type="http://schemas.openxmlformats.org/officeDocument/2006/relationships/hyperlink" Target="https://www.lowes.com/pd/Sea-Gull-Lighting-Lormont-9-in-H-White-Outdoor-Wall-Light/50370064" TargetMode="External"/><Relationship Id="rId28" Type="http://schemas.openxmlformats.org/officeDocument/2006/relationships/hyperlink" Target="https://www.lowes.com/pd/Progress-Lighting-7-25-in-H-Black-Outdoor-Wall-Light/50097998" TargetMode="External"/><Relationship Id="rId10" Type="http://schemas.openxmlformats.org/officeDocument/2006/relationships/hyperlink" Target="https://www.grainger.com/product/LUMAPRO-Floodlight-WP23600/_/N-9hv/Ntt-outdoor+incandescent?sst=subset&amp;ts_optout=true&amp;s_pp=false&amp;picUrl=//static.grainger.com/rp/s/is/image/Grainger/6MPA6_AS01?$smthumb$&amp;breadcrumbCatId=4332" TargetMode="External"/><Relationship Id="rId19" Type="http://schemas.openxmlformats.org/officeDocument/2006/relationships/hyperlink" Target="http://www.homedepot.com/p/Lithonia-Lighting-300-Watt-Incandescent-Utility-Vapor-Tight-Wall-Mount-Fixture-VW300I-M6/205507748" TargetMode="External"/><Relationship Id="rId31" Type="http://schemas.openxmlformats.org/officeDocument/2006/relationships/hyperlink" Target="http://www.wholesalecontractorsupply.com/300w-wall-mount-vapor-VIW-1-2-300-p/viw-1-2-300.htm" TargetMode="External"/><Relationship Id="rId4" Type="http://schemas.openxmlformats.org/officeDocument/2006/relationships/hyperlink" Target="https://www.overstock.com/Home-Garden/Chloe-Transitional-1-light-Black-Outdoor-Wall-Lantern/10570979/product.html?refccid=XQ32CHAA2FUIK7SKEY2FBVRP34&amp;searchidx=1" TargetMode="External"/><Relationship Id="rId9" Type="http://schemas.openxmlformats.org/officeDocument/2006/relationships/hyperlink" Target="https://www.grainger.com/product/DESIGNERS-EDGE-Motion-Light-38RZ85?s_pp=false&amp;picUrl=//static.grainger.com/rp/s/is/image/Grainger/38RZ85_AS01?$smthumb$&amp;breadcrumbCatId=12974" TargetMode="External"/><Relationship Id="rId14" Type="http://schemas.openxmlformats.org/officeDocument/2006/relationships/hyperlink" Target="http://www.homedepot.com/p/Newport-Coastal-White-Outdoor-Incandescent-Wall-Mount-Coastal-Jelly-Jar-7791-30W/203570642" TargetMode="External"/><Relationship Id="rId22" Type="http://schemas.openxmlformats.org/officeDocument/2006/relationships/hyperlink" Target="https://www.lowes.com/pd/Portfolio-7-17-in-H-Medium-Base-E-26-Black-Outdoor-Wall-Light/50106238" TargetMode="External"/><Relationship Id="rId27" Type="http://schemas.openxmlformats.org/officeDocument/2006/relationships/hyperlink" Target="https://www.lowes.com/pd/Progress-Lighting-7-25-in-H-Black-Outdoor-Wall-Light/50097998" TargetMode="External"/><Relationship Id="rId30" Type="http://schemas.openxmlformats.org/officeDocument/2006/relationships/hyperlink" Target="http://www.wholesalecontractorsupply.com/300w-box-mount-VIB-1-2-300-p/vib-1-2-300.htm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mazon.com/Leviton-9863-SEN-Fluorescent-Lampholder-Occupancy/dp/B004KZKN8K/ref=sr_1_4?s=hi&amp;ie=UTF8&amp;qid=1477600027&amp;sr=1-4&amp;keywords=cfl+fixtures&amp;refinements=p_n_feature_browse-bin%3A5676450011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zoomScale="70" zoomScaleNormal="70" workbookViewId="0">
      <selection activeCell="B46" sqref="B46"/>
    </sheetView>
  </sheetViews>
  <sheetFormatPr defaultColWidth="0" defaultRowHeight="14.4" x14ac:dyDescent="0.3"/>
  <cols>
    <col min="1" max="1" width="46.44140625" bestFit="1" customWidth="1"/>
    <col min="2" max="2" width="27" bestFit="1" customWidth="1"/>
    <col min="3" max="3" width="13.109375" customWidth="1"/>
    <col min="4" max="4" width="92.6640625" customWidth="1"/>
    <col min="5" max="6" width="9.109375" hidden="1" customWidth="1"/>
    <col min="7" max="7" width="20.6640625" hidden="1" customWidth="1"/>
    <col min="8" max="8" width="0" hidden="1" customWidth="1"/>
    <col min="9" max="16384" width="9.109375" hidden="1"/>
  </cols>
  <sheetData>
    <row r="1" spans="1:4" ht="15" x14ac:dyDescent="0.25">
      <c r="A1" s="3" t="s">
        <v>5</v>
      </c>
      <c r="B1" s="7">
        <f>AVERAGE(C:C)</f>
        <v>32.653333333333336</v>
      </c>
    </row>
    <row r="2" spans="1:4" ht="15" x14ac:dyDescent="0.25">
      <c r="A2" s="3" t="s">
        <v>8</v>
      </c>
      <c r="B2" s="7">
        <v>8.99</v>
      </c>
    </row>
    <row r="3" spans="1:4" ht="15" x14ac:dyDescent="0.25">
      <c r="A3" s="3" t="s">
        <v>10</v>
      </c>
      <c r="B3" s="7">
        <f>B1*0.085</f>
        <v>2.7755333333333336</v>
      </c>
    </row>
    <row r="4" spans="1:4" ht="15" x14ac:dyDescent="0.25">
      <c r="A4" s="3" t="s">
        <v>9</v>
      </c>
      <c r="B4" s="7">
        <f>SUM(B1:B3)</f>
        <v>44.418866666666673</v>
      </c>
    </row>
    <row r="5" spans="1:4" ht="15.75" x14ac:dyDescent="0.25">
      <c r="A5" s="21" t="s">
        <v>16</v>
      </c>
      <c r="B5" s="22">
        <f>$B$4+'Labor Costs'!$B$2</f>
        <v>44.418866666666673</v>
      </c>
    </row>
    <row r="7" spans="1:4" ht="15" x14ac:dyDescent="0.25">
      <c r="A7" s="3" t="s">
        <v>7</v>
      </c>
      <c r="B7" s="3" t="s">
        <v>1</v>
      </c>
      <c r="C7" s="3" t="s">
        <v>2</v>
      </c>
      <c r="D7" s="3" t="s">
        <v>6</v>
      </c>
    </row>
    <row r="8" spans="1:4" ht="15" x14ac:dyDescent="0.25">
      <c r="A8" s="1" t="s">
        <v>36</v>
      </c>
      <c r="B8" s="1" t="s">
        <v>37</v>
      </c>
      <c r="C8" s="2">
        <v>29.97</v>
      </c>
      <c r="D8" s="6" t="s">
        <v>35</v>
      </c>
    </row>
    <row r="9" spans="1:4" ht="15" x14ac:dyDescent="0.25">
      <c r="B9" s="5"/>
      <c r="C9" s="5"/>
      <c r="D9" s="5"/>
    </row>
    <row r="10" spans="1:4" ht="15" x14ac:dyDescent="0.25">
      <c r="A10" s="5"/>
      <c r="B10" s="5"/>
      <c r="C10" s="5"/>
      <c r="D10" s="5"/>
    </row>
    <row r="11" spans="1:4" ht="15" x14ac:dyDescent="0.25">
      <c r="A11" s="5"/>
      <c r="B11" s="5"/>
      <c r="C11" s="5"/>
      <c r="D11" s="5"/>
    </row>
    <row r="12" spans="1:4" ht="15" x14ac:dyDescent="0.25">
      <c r="A12" s="5"/>
      <c r="B12" s="5"/>
      <c r="C12" s="5"/>
      <c r="D12" s="5"/>
    </row>
    <row r="13" spans="1:4" ht="15" x14ac:dyDescent="0.25">
      <c r="A13" s="5"/>
      <c r="B13" s="5"/>
      <c r="C13" s="5"/>
      <c r="D13" s="5"/>
    </row>
    <row r="14" spans="1:4" ht="15" x14ac:dyDescent="0.25">
      <c r="A14" s="5"/>
      <c r="B14" s="5"/>
      <c r="C14" s="5"/>
      <c r="D14" s="5"/>
    </row>
    <row r="15" spans="1:4" ht="15" x14ac:dyDescent="0.25">
      <c r="A15" s="5"/>
      <c r="B15" s="5"/>
      <c r="C15" s="5"/>
      <c r="D15" s="5"/>
    </row>
    <row r="16" spans="1:4" ht="108.75" customHeight="1" x14ac:dyDescent="0.25">
      <c r="A16" s="5"/>
      <c r="B16" s="5"/>
      <c r="C16" s="5"/>
      <c r="D16" s="5"/>
    </row>
    <row r="17" spans="1:4" ht="15" x14ac:dyDescent="0.25">
      <c r="A17" s="3" t="s">
        <v>0</v>
      </c>
      <c r="B17" s="3" t="s">
        <v>1</v>
      </c>
      <c r="C17" s="3" t="s">
        <v>2</v>
      </c>
      <c r="D17" s="3" t="s">
        <v>6</v>
      </c>
    </row>
    <row r="18" spans="1:4" ht="15" x14ac:dyDescent="0.25">
      <c r="A18" s="1" t="s">
        <v>38</v>
      </c>
      <c r="B18" s="1" t="s">
        <v>39</v>
      </c>
      <c r="C18" s="2">
        <v>35.340000000000003</v>
      </c>
      <c r="D18" s="6" t="s">
        <v>40</v>
      </c>
    </row>
    <row r="19" spans="1:4" ht="15" x14ac:dyDescent="0.25">
      <c r="B19" s="5"/>
      <c r="C19" s="5"/>
      <c r="D19" s="5"/>
    </row>
    <row r="20" spans="1:4" ht="15" x14ac:dyDescent="0.25">
      <c r="A20" s="5"/>
      <c r="B20" s="5"/>
      <c r="C20" s="5"/>
      <c r="D20" s="5"/>
    </row>
    <row r="21" spans="1:4" ht="15" x14ac:dyDescent="0.25">
      <c r="A21" s="5"/>
      <c r="B21" s="5"/>
      <c r="C21" s="5"/>
      <c r="D21" s="5"/>
    </row>
    <row r="22" spans="1:4" ht="15" x14ac:dyDescent="0.25">
      <c r="A22" s="5"/>
      <c r="B22" s="5"/>
      <c r="C22" s="5"/>
      <c r="D22" s="5"/>
    </row>
    <row r="23" spans="1:4" ht="15" x14ac:dyDescent="0.25">
      <c r="A23" s="5"/>
      <c r="B23" s="5"/>
      <c r="C23" s="5"/>
      <c r="D23" s="5"/>
    </row>
    <row r="24" spans="1:4" ht="15" x14ac:dyDescent="0.25">
      <c r="A24" s="5"/>
      <c r="B24" s="5"/>
      <c r="C24" s="5"/>
      <c r="D24" s="5"/>
    </row>
    <row r="25" spans="1:4" ht="15" x14ac:dyDescent="0.25">
      <c r="A25" s="5"/>
      <c r="B25" s="5"/>
      <c r="C25" s="5"/>
      <c r="D25" s="5"/>
    </row>
    <row r="26" spans="1:4" ht="15" x14ac:dyDescent="0.25">
      <c r="A26" s="5"/>
      <c r="B26" s="5"/>
      <c r="C26" s="5"/>
      <c r="D26" s="5"/>
    </row>
    <row r="27" spans="1:4" ht="15" x14ac:dyDescent="0.25">
      <c r="A27" s="3" t="s">
        <v>0</v>
      </c>
      <c r="B27" s="3" t="s">
        <v>1</v>
      </c>
      <c r="C27" s="3" t="s">
        <v>2</v>
      </c>
      <c r="D27" s="3" t="s">
        <v>6</v>
      </c>
    </row>
    <row r="28" spans="1:4" ht="15" x14ac:dyDescent="0.25">
      <c r="A28" s="1" t="s">
        <v>38</v>
      </c>
      <c r="B28" s="1" t="s">
        <v>42</v>
      </c>
      <c r="C28" s="2">
        <v>32.65</v>
      </c>
      <c r="D28" s="6" t="s">
        <v>41</v>
      </c>
    </row>
    <row r="29" spans="1:4" ht="15" x14ac:dyDescent="0.25">
      <c r="B29" s="5"/>
      <c r="C29" s="5"/>
      <c r="D29" s="5"/>
    </row>
    <row r="30" spans="1:4" ht="15" x14ac:dyDescent="0.25">
      <c r="A30" s="5"/>
      <c r="B30" s="5"/>
      <c r="C30" s="5"/>
      <c r="D30" s="5"/>
    </row>
    <row r="31" spans="1:4" ht="15" x14ac:dyDescent="0.25">
      <c r="A31" s="5"/>
      <c r="B31" s="5"/>
      <c r="C31" s="5"/>
      <c r="D31" s="5"/>
    </row>
    <row r="32" spans="1:4" ht="15" x14ac:dyDescent="0.25">
      <c r="A32" s="5"/>
      <c r="B32" s="5"/>
      <c r="C32" s="5"/>
      <c r="D32" s="5"/>
    </row>
    <row r="33" spans="1:4" ht="15" x14ac:dyDescent="0.25">
      <c r="A33" s="5"/>
      <c r="B33" s="5"/>
      <c r="C33" s="5"/>
      <c r="D33" s="5"/>
    </row>
    <row r="34" spans="1:4" ht="15" x14ac:dyDescent="0.25">
      <c r="A34" s="5"/>
      <c r="B34" s="5"/>
      <c r="C34" s="5"/>
      <c r="D34" s="5"/>
    </row>
    <row r="35" spans="1:4" ht="15" x14ac:dyDescent="0.25">
      <c r="A35" s="5"/>
      <c r="B35" s="5"/>
      <c r="C35" s="5"/>
      <c r="D35" s="5"/>
    </row>
    <row r="36" spans="1:4" ht="15" x14ac:dyDescent="0.25">
      <c r="A36" s="5"/>
      <c r="B36" s="5"/>
      <c r="C36" s="5"/>
      <c r="D36" s="5"/>
    </row>
    <row r="37" spans="1:4" ht="15" x14ac:dyDescent="0.25">
      <c r="A37" s="3" t="s">
        <v>0</v>
      </c>
      <c r="B37" s="3" t="s">
        <v>1</v>
      </c>
      <c r="C37" s="3" t="s">
        <v>2</v>
      </c>
      <c r="D37" s="3" t="s">
        <v>6</v>
      </c>
    </row>
    <row r="38" spans="1:4" ht="15" x14ac:dyDescent="0.25">
      <c r="A38" s="1"/>
      <c r="B38" s="1"/>
      <c r="C38" s="2"/>
      <c r="D38" s="1"/>
    </row>
    <row r="39" spans="1:4" ht="15" x14ac:dyDescent="0.25">
      <c r="A39" s="4" t="s">
        <v>4</v>
      </c>
      <c r="B39" s="5"/>
      <c r="C39" s="5"/>
      <c r="D39" s="5"/>
    </row>
    <row r="40" spans="1:4" ht="15" x14ac:dyDescent="0.25">
      <c r="A40" s="5"/>
      <c r="B40" s="5"/>
      <c r="C40" s="5"/>
      <c r="D40" s="5"/>
    </row>
    <row r="41" spans="1:4" ht="15" x14ac:dyDescent="0.25">
      <c r="A41" s="5"/>
      <c r="B41" s="5"/>
      <c r="C41" s="5"/>
      <c r="D41" s="5"/>
    </row>
    <row r="42" spans="1:4" ht="15" x14ac:dyDescent="0.25">
      <c r="A42" s="5"/>
      <c r="B42" s="5"/>
      <c r="C42" s="5"/>
      <c r="D42" s="5"/>
    </row>
    <row r="43" spans="1:4" ht="15" x14ac:dyDescent="0.25">
      <c r="A43" s="5"/>
      <c r="B43" s="5"/>
      <c r="C43" s="5"/>
      <c r="D43" s="5"/>
    </row>
    <row r="44" spans="1:4" ht="15" x14ac:dyDescent="0.25">
      <c r="A44" s="5"/>
      <c r="B44" s="5"/>
      <c r="C44" s="5"/>
      <c r="D44" s="5"/>
    </row>
    <row r="45" spans="1:4" x14ac:dyDescent="0.3">
      <c r="A45" s="5"/>
      <c r="B45" s="5"/>
      <c r="C45" s="5"/>
      <c r="D45" s="5"/>
    </row>
    <row r="46" spans="1:4" x14ac:dyDescent="0.3">
      <c r="A46" s="5"/>
      <c r="B46" s="5"/>
      <c r="C46" s="5"/>
      <c r="D46" s="5"/>
    </row>
    <row r="47" spans="1:4" x14ac:dyDescent="0.3">
      <c r="A47" s="3" t="s">
        <v>0</v>
      </c>
      <c r="B47" s="3" t="s">
        <v>1</v>
      </c>
      <c r="C47" s="3" t="s">
        <v>2</v>
      </c>
      <c r="D47" s="3" t="s">
        <v>6</v>
      </c>
    </row>
    <row r="48" spans="1:4" x14ac:dyDescent="0.3">
      <c r="A48" s="1"/>
      <c r="B48" s="1"/>
      <c r="C48" s="2"/>
      <c r="D48" s="1"/>
    </row>
    <row r="49" spans="1:4" x14ac:dyDescent="0.3">
      <c r="A49" s="4" t="s">
        <v>4</v>
      </c>
      <c r="B49" s="5"/>
      <c r="C49" s="5"/>
      <c r="D49" s="5"/>
    </row>
    <row r="50" spans="1:4" x14ac:dyDescent="0.3">
      <c r="A50" s="5"/>
      <c r="B50" s="5"/>
      <c r="C50" s="5"/>
      <c r="D50" s="5"/>
    </row>
    <row r="51" spans="1:4" x14ac:dyDescent="0.3">
      <c r="A51" s="5"/>
      <c r="B51" s="5"/>
      <c r="C51" s="5"/>
      <c r="D51" s="5"/>
    </row>
    <row r="52" spans="1:4" x14ac:dyDescent="0.3">
      <c r="A52" s="5"/>
      <c r="B52" s="5"/>
      <c r="C52" s="5"/>
      <c r="D52" s="5"/>
    </row>
    <row r="53" spans="1:4" x14ac:dyDescent="0.3">
      <c r="A53" s="5"/>
      <c r="B53" s="5"/>
      <c r="C53" s="5"/>
      <c r="D53" s="5"/>
    </row>
    <row r="54" spans="1:4" x14ac:dyDescent="0.3">
      <c r="A54" s="5"/>
      <c r="B54" s="5"/>
      <c r="C54" s="5"/>
      <c r="D54" s="5"/>
    </row>
    <row r="55" spans="1:4" x14ac:dyDescent="0.3">
      <c r="A55" s="5"/>
      <c r="B55" s="5"/>
      <c r="C55" s="5"/>
      <c r="D55" s="5"/>
    </row>
    <row r="56" spans="1:4" x14ac:dyDescent="0.3">
      <c r="A56" s="5"/>
      <c r="B56" s="5"/>
      <c r="C56" s="5"/>
      <c r="D56" s="5"/>
    </row>
    <row r="57" spans="1:4" x14ac:dyDescent="0.3">
      <c r="A57" s="3" t="s">
        <v>0</v>
      </c>
      <c r="B57" s="3" t="s">
        <v>1</v>
      </c>
      <c r="C57" s="3" t="s">
        <v>2</v>
      </c>
      <c r="D57" s="3" t="s">
        <v>6</v>
      </c>
    </row>
    <row r="58" spans="1:4" x14ac:dyDescent="0.3">
      <c r="A58" s="1"/>
      <c r="B58" s="1"/>
      <c r="C58" s="2"/>
      <c r="D58" s="1"/>
    </row>
    <row r="59" spans="1:4" x14ac:dyDescent="0.3">
      <c r="A59" s="4" t="s">
        <v>4</v>
      </c>
      <c r="B59" s="5"/>
      <c r="C59" s="5"/>
      <c r="D59" s="5"/>
    </row>
    <row r="60" spans="1:4" x14ac:dyDescent="0.3">
      <c r="A60" s="5"/>
      <c r="B60" s="5"/>
      <c r="C60" s="5"/>
      <c r="D60" s="5"/>
    </row>
    <row r="61" spans="1:4" x14ac:dyDescent="0.3">
      <c r="A61" s="5"/>
      <c r="B61" s="5"/>
      <c r="C61" s="5"/>
      <c r="D61" s="5"/>
    </row>
    <row r="62" spans="1:4" x14ac:dyDescent="0.3">
      <c r="A62" s="5"/>
      <c r="B62" s="5"/>
      <c r="C62" s="5"/>
      <c r="D62" s="5"/>
    </row>
    <row r="63" spans="1:4" x14ac:dyDescent="0.3">
      <c r="A63" s="5"/>
      <c r="B63" s="5"/>
      <c r="C63" s="5"/>
      <c r="D63" s="5"/>
    </row>
    <row r="64" spans="1:4" x14ac:dyDescent="0.3">
      <c r="A64" s="5"/>
      <c r="B64" s="5"/>
      <c r="C64" s="5"/>
      <c r="D64" s="5"/>
    </row>
    <row r="65" spans="1:4" x14ac:dyDescent="0.3">
      <c r="A65" s="5"/>
      <c r="B65" s="5"/>
      <c r="C65" s="5"/>
      <c r="D65" s="5"/>
    </row>
    <row r="66" spans="1:4" x14ac:dyDescent="0.3">
      <c r="A66" s="5"/>
      <c r="B66" s="5"/>
      <c r="C66" s="5"/>
      <c r="D66" s="5"/>
    </row>
    <row r="67" spans="1:4" x14ac:dyDescent="0.3">
      <c r="A67" s="3" t="s">
        <v>0</v>
      </c>
      <c r="B67" s="3" t="s">
        <v>1</v>
      </c>
      <c r="C67" s="3" t="s">
        <v>2</v>
      </c>
      <c r="D67" s="3" t="s">
        <v>6</v>
      </c>
    </row>
    <row r="68" spans="1:4" x14ac:dyDescent="0.3">
      <c r="A68" s="1"/>
      <c r="B68" s="1"/>
      <c r="C68" s="2"/>
      <c r="D68" s="1"/>
    </row>
    <row r="69" spans="1:4" x14ac:dyDescent="0.3">
      <c r="A69" s="4" t="s">
        <v>4</v>
      </c>
      <c r="B69" s="5"/>
      <c r="C69" s="5"/>
      <c r="D69" s="5"/>
    </row>
    <row r="70" spans="1:4" x14ac:dyDescent="0.3">
      <c r="A70" s="5"/>
      <c r="B70" s="5"/>
      <c r="C70" s="5"/>
      <c r="D70" s="5"/>
    </row>
    <row r="71" spans="1:4" x14ac:dyDescent="0.3">
      <c r="A71" s="5"/>
      <c r="B71" s="5"/>
      <c r="C71" s="5"/>
      <c r="D71" s="5"/>
    </row>
    <row r="72" spans="1:4" x14ac:dyDescent="0.3">
      <c r="A72" s="5"/>
      <c r="B72" s="5"/>
      <c r="C72" s="5"/>
      <c r="D72" s="5"/>
    </row>
    <row r="73" spans="1:4" x14ac:dyDescent="0.3">
      <c r="A73" s="5"/>
      <c r="B73" s="5"/>
      <c r="C73" s="5"/>
      <c r="D73" s="5"/>
    </row>
    <row r="74" spans="1:4" x14ac:dyDescent="0.3">
      <c r="A74" s="5"/>
      <c r="B74" s="5"/>
      <c r="C74" s="5"/>
      <c r="D74" s="5"/>
    </row>
    <row r="75" spans="1:4" x14ac:dyDescent="0.3">
      <c r="A75" s="5"/>
      <c r="B75" s="5"/>
      <c r="C75" s="5"/>
      <c r="D75" s="5"/>
    </row>
    <row r="76" spans="1:4" x14ac:dyDescent="0.3">
      <c r="A76" s="5"/>
      <c r="B76" s="5"/>
      <c r="C76" s="5"/>
      <c r="D76" s="5"/>
    </row>
    <row r="77" spans="1:4" x14ac:dyDescent="0.3">
      <c r="A77" s="3" t="s">
        <v>0</v>
      </c>
      <c r="B77" s="3" t="s">
        <v>1</v>
      </c>
      <c r="C77" s="3" t="s">
        <v>2</v>
      </c>
      <c r="D77" s="3" t="s">
        <v>6</v>
      </c>
    </row>
    <row r="78" spans="1:4" x14ac:dyDescent="0.3">
      <c r="A78" s="1"/>
      <c r="B78" s="1"/>
      <c r="C78" s="2"/>
      <c r="D78" s="1"/>
    </row>
    <row r="79" spans="1:4" x14ac:dyDescent="0.3">
      <c r="A79" s="4" t="s">
        <v>4</v>
      </c>
      <c r="B79" s="5"/>
      <c r="C79" s="5"/>
      <c r="D79" s="5"/>
    </row>
    <row r="80" spans="1:4" x14ac:dyDescent="0.3">
      <c r="A80" s="5"/>
      <c r="B80" s="5"/>
      <c r="C80" s="5"/>
      <c r="D80" s="5"/>
    </row>
    <row r="81" spans="1:4" x14ac:dyDescent="0.3">
      <c r="A81" s="5"/>
      <c r="B81" s="5"/>
      <c r="C81" s="5"/>
      <c r="D81" s="5"/>
    </row>
    <row r="82" spans="1:4" x14ac:dyDescent="0.3">
      <c r="A82" s="5"/>
      <c r="B82" s="5"/>
      <c r="C82" s="5"/>
      <c r="D82" s="5"/>
    </row>
    <row r="83" spans="1:4" x14ac:dyDescent="0.3">
      <c r="A83" s="5"/>
      <c r="B83" s="5"/>
      <c r="C83" s="5"/>
      <c r="D83" s="5"/>
    </row>
    <row r="84" spans="1:4" x14ac:dyDescent="0.3">
      <c r="A84" s="5"/>
      <c r="B84" s="5"/>
      <c r="C84" s="5"/>
      <c r="D84" s="5"/>
    </row>
    <row r="85" spans="1:4" x14ac:dyDescent="0.3">
      <c r="A85" s="5"/>
      <c r="B85" s="5"/>
      <c r="C85" s="5"/>
      <c r="D85" s="5"/>
    </row>
    <row r="86" spans="1:4" x14ac:dyDescent="0.3">
      <c r="A86" s="5"/>
      <c r="B86" s="5"/>
      <c r="C86" s="5"/>
      <c r="D86" s="5"/>
    </row>
  </sheetData>
  <hyperlinks>
    <hyperlink ref="D8" r:id="rId1"/>
    <hyperlink ref="D18" r:id="rId2"/>
    <hyperlink ref="D28" r:id="rId3"/>
  </hyperlinks>
  <pageMargins left="0.7" right="0.7" top="0.75" bottom="0.75" header="0.3" footer="0.3"/>
  <pageSetup scale="50" orientation="portrait" r:id="rId4"/>
  <headerFooter>
    <oddHeader>&amp;C&amp;F</oddHead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36"/>
  <sheetViews>
    <sheetView tabSelected="1" zoomScale="55" zoomScaleNormal="55" workbookViewId="0">
      <selection activeCell="G54" sqref="G54"/>
    </sheetView>
  </sheetViews>
  <sheetFormatPr defaultRowHeight="14.4" x14ac:dyDescent="0.3"/>
  <cols>
    <col min="2" max="2" width="11.88671875" bestFit="1" customWidth="1"/>
    <col min="3" max="3" width="15.88671875" bestFit="1" customWidth="1"/>
    <col min="4" max="4" width="24.5546875" bestFit="1" customWidth="1"/>
    <col min="5" max="5" width="16.88671875" bestFit="1" customWidth="1"/>
    <col min="6" max="6" width="14.109375" bestFit="1" customWidth="1"/>
    <col min="7" max="7" width="19.109375" bestFit="1" customWidth="1"/>
    <col min="8" max="8" width="15.5546875" bestFit="1" customWidth="1"/>
    <col min="9" max="9" width="10.88671875" bestFit="1" customWidth="1"/>
    <col min="10" max="10" width="10.44140625" bestFit="1" customWidth="1"/>
    <col min="11" max="11" width="27" bestFit="1" customWidth="1"/>
    <col min="12" max="12" width="26.5546875" bestFit="1" customWidth="1"/>
    <col min="13" max="13" width="29.33203125" customWidth="1"/>
    <col min="14" max="14" width="115.6640625" bestFit="1" customWidth="1"/>
    <col min="15" max="15" width="12.5546875" bestFit="1" customWidth="1"/>
    <col min="16" max="16" width="15.44140625" bestFit="1" customWidth="1"/>
    <col min="17" max="17" width="14.88671875" bestFit="1" customWidth="1"/>
    <col min="18" max="18" width="14.44140625" bestFit="1" customWidth="1"/>
    <col min="19" max="19" width="16.33203125" bestFit="1" customWidth="1"/>
    <col min="20" max="20" width="10.44140625" bestFit="1" customWidth="1"/>
    <col min="21" max="21" width="26.5546875" bestFit="1" customWidth="1"/>
    <col min="22" max="22" width="26.109375" bestFit="1" customWidth="1"/>
  </cols>
  <sheetData>
    <row r="3" spans="2:14" x14ac:dyDescent="0.25">
      <c r="B3" s="1" t="s">
        <v>126</v>
      </c>
      <c r="C3" s="1" t="s">
        <v>127</v>
      </c>
      <c r="D3" s="1" t="s">
        <v>128</v>
      </c>
      <c r="E3" s="1" t="s">
        <v>132</v>
      </c>
      <c r="F3" s="1" t="s">
        <v>129</v>
      </c>
      <c r="G3" s="1" t="s">
        <v>130</v>
      </c>
      <c r="H3" s="1" t="s">
        <v>133</v>
      </c>
      <c r="I3" s="1" t="s">
        <v>131</v>
      </c>
      <c r="J3" s="37" t="s">
        <v>134</v>
      </c>
      <c r="K3" s="37" t="s">
        <v>135</v>
      </c>
      <c r="L3" s="37" t="s">
        <v>136</v>
      </c>
    </row>
    <row r="4" spans="2:14" x14ac:dyDescent="0.25">
      <c r="B4" s="1" t="str">
        <f>'Base Inc Cost Findings'!C61</f>
        <v>&lt;=60</v>
      </c>
      <c r="C4" s="35">
        <f>'Base Inc Cost Findings'!D61</f>
        <v>56.824423437499988</v>
      </c>
      <c r="D4" s="26">
        <v>55</v>
      </c>
      <c r="E4" s="35">
        <f>D4+C4</f>
        <v>111.82442343749999</v>
      </c>
      <c r="F4" s="36" t="s">
        <v>178</v>
      </c>
      <c r="G4" s="26">
        <f>'Measure Material Cost'!$C$11</f>
        <v>62.317374999999998</v>
      </c>
      <c r="H4" s="26">
        <v>55</v>
      </c>
      <c r="I4" s="26">
        <f>H4+G4</f>
        <v>117.317375</v>
      </c>
      <c r="J4" s="35">
        <f>I4-E4</f>
        <v>5.4929515625000107</v>
      </c>
      <c r="K4" s="35" t="s">
        <v>138</v>
      </c>
      <c r="L4" s="35" t="s">
        <v>137</v>
      </c>
    </row>
    <row r="5" spans="2:14" x14ac:dyDescent="0.25">
      <c r="B5" s="1" t="str">
        <f>'Base Inc Cost Findings'!C62</f>
        <v>61-100</v>
      </c>
      <c r="C5" s="35">
        <f>'Base Inc Cost Findings'!D62</f>
        <v>56.166749999999993</v>
      </c>
      <c r="D5" s="26">
        <v>55</v>
      </c>
      <c r="E5" s="35">
        <f t="shared" ref="E5:E7" si="0">D5+C5</f>
        <v>111.16674999999999</v>
      </c>
      <c r="F5" s="1" t="s">
        <v>179</v>
      </c>
      <c r="G5" s="26">
        <f>'Measure Material Cost'!$C$35</f>
        <v>76.46575</v>
      </c>
      <c r="H5" s="26">
        <v>55</v>
      </c>
      <c r="I5" s="26">
        <f>H5+G5</f>
        <v>131.46575000000001</v>
      </c>
      <c r="J5" s="35">
        <f t="shared" ref="J5:J7" si="1">I5-E5</f>
        <v>20.299000000000021</v>
      </c>
      <c r="K5" s="35" t="s">
        <v>139</v>
      </c>
      <c r="L5" s="35" t="s">
        <v>140</v>
      </c>
    </row>
    <row r="6" spans="2:14" x14ac:dyDescent="0.25">
      <c r="B6" s="1" t="str">
        <f>'Base Inc Cost Findings'!C63</f>
        <v>101-150</v>
      </c>
      <c r="C6" s="35">
        <f>'Base Inc Cost Findings'!D63</f>
        <v>64.714275000000001</v>
      </c>
      <c r="D6" s="26">
        <v>55</v>
      </c>
      <c r="E6" s="35">
        <f t="shared" si="0"/>
        <v>119.714275</v>
      </c>
      <c r="F6" s="1" t="s">
        <v>180</v>
      </c>
      <c r="G6" s="26">
        <f>'Measure Material Cost'!$C$23</f>
        <v>83.541750000000008</v>
      </c>
      <c r="H6" s="26">
        <v>55</v>
      </c>
      <c r="I6" s="26">
        <f t="shared" ref="I6:I7" si="2">H6+G6</f>
        <v>138.54175000000001</v>
      </c>
      <c r="J6" s="35">
        <f t="shared" si="1"/>
        <v>18.827475000000007</v>
      </c>
      <c r="K6" s="35" t="s">
        <v>141</v>
      </c>
      <c r="L6" s="35" t="s">
        <v>142</v>
      </c>
    </row>
    <row r="7" spans="2:14" x14ac:dyDescent="0.25">
      <c r="B7" s="1" t="str">
        <f>'Base Inc Cost Findings'!C64</f>
        <v>&gt;150</v>
      </c>
      <c r="C7" s="35">
        <f>'Base Inc Cost Findings'!D64</f>
        <v>68.816724999999991</v>
      </c>
      <c r="D7" s="26">
        <v>55</v>
      </c>
      <c r="E7" s="35">
        <f t="shared" si="0"/>
        <v>123.81672499999999</v>
      </c>
      <c r="F7" s="1" t="s">
        <v>181</v>
      </c>
      <c r="G7" s="26">
        <f>'Measure Material Cost'!$C$47</f>
        <v>179.58975000000001</v>
      </c>
      <c r="H7" s="26">
        <v>55</v>
      </c>
      <c r="I7" s="26">
        <f t="shared" si="2"/>
        <v>234.58975000000001</v>
      </c>
      <c r="J7" s="35">
        <f t="shared" si="1"/>
        <v>110.77302500000002</v>
      </c>
      <c r="K7" s="35" t="s">
        <v>143</v>
      </c>
      <c r="L7" s="35" t="s">
        <v>144</v>
      </c>
    </row>
    <row r="11" spans="2:14" x14ac:dyDescent="0.25">
      <c r="B11" s="1" t="s">
        <v>51</v>
      </c>
      <c r="C11" s="1" t="s">
        <v>52</v>
      </c>
      <c r="D11" s="1" t="s">
        <v>53</v>
      </c>
      <c r="E11" s="49" t="s">
        <v>54</v>
      </c>
      <c r="F11" s="49"/>
      <c r="G11" s="1"/>
      <c r="H11" s="1"/>
      <c r="I11" s="1" t="s">
        <v>177</v>
      </c>
    </row>
    <row r="12" spans="2:14" x14ac:dyDescent="0.25">
      <c r="B12" s="1"/>
      <c r="C12" s="1"/>
      <c r="D12" s="1"/>
      <c r="E12" s="1" t="s">
        <v>55</v>
      </c>
      <c r="F12" s="1" t="s">
        <v>56</v>
      </c>
      <c r="G12" s="1" t="s">
        <v>129</v>
      </c>
      <c r="H12" s="1" t="s">
        <v>126</v>
      </c>
      <c r="I12" s="1" t="s">
        <v>172</v>
      </c>
      <c r="J12" s="41"/>
      <c r="K12" s="37" t="s">
        <v>135</v>
      </c>
      <c r="L12" s="37" t="s">
        <v>136</v>
      </c>
      <c r="M12" s="1" t="s">
        <v>195</v>
      </c>
      <c r="N12" s="1" t="s">
        <v>189</v>
      </c>
    </row>
    <row r="13" spans="2:14" x14ac:dyDescent="0.25">
      <c r="B13" s="37" t="s">
        <v>57</v>
      </c>
      <c r="C13" s="37" t="s">
        <v>58</v>
      </c>
      <c r="D13" s="39">
        <f t="shared" ref="D13:D36" si="3">INDEX($J$4:$J$7,MATCH(I13,$B$4:$B$7,0))</f>
        <v>110.77302500000002</v>
      </c>
      <c r="E13" s="40">
        <f>D13</f>
        <v>110.77302500000002</v>
      </c>
      <c r="F13" s="40">
        <v>0</v>
      </c>
      <c r="G13" s="1">
        <f>INDEX('Watts and Bins'!C$2:C$25,MATCH($B13,'Watts and Bins'!$A$2:$A$25,0))</f>
        <v>70</v>
      </c>
      <c r="H13" s="1">
        <f>INDEX('Watts and Bins'!D$2:D$25,MATCH($B13,'Watts and Bins'!$A$2:$A$25,0))</f>
        <v>249.89999999999998</v>
      </c>
      <c r="I13" s="1" t="str">
        <f>INDEX('Watts and Bins'!E$2:E$25,MATCH($B13,'Watts and Bins'!$A$2:$A$25,0))</f>
        <v>&gt;150</v>
      </c>
      <c r="K13" s="35" t="str">
        <f>INDEX($K$4:$K$7,MATCH($I13,$B$4:$B$7,0))</f>
        <v>SCE17LG007_00_M004</v>
      </c>
      <c r="L13" s="35" t="str">
        <f>INDEX($L$4:$L$7,MATCH($I13,$B$4:$B$7,0))</f>
        <v>SCE17LG007_00_B004</v>
      </c>
      <c r="M13" s="1" t="s">
        <v>196</v>
      </c>
      <c r="N13" s="1" t="s">
        <v>190</v>
      </c>
    </row>
    <row r="14" spans="2:14" x14ac:dyDescent="0.25">
      <c r="B14" s="37" t="s">
        <v>59</v>
      </c>
      <c r="C14" s="37" t="s">
        <v>58</v>
      </c>
      <c r="D14" s="39">
        <f t="shared" si="3"/>
        <v>20.299000000000021</v>
      </c>
      <c r="E14" s="40">
        <f t="shared" ref="E14:E36" si="4">D14</f>
        <v>20.299000000000021</v>
      </c>
      <c r="F14" s="40">
        <v>0</v>
      </c>
      <c r="G14" s="1">
        <f>INDEX('Watts and Bins'!C$2:C$25,MATCH($B14,'Watts and Bins'!$A$2:$A$25,0))</f>
        <v>26</v>
      </c>
      <c r="H14" s="1">
        <f>INDEX('Watts and Bins'!D$2:D$25,MATCH($B14,'Watts and Bins'!$A$2:$A$25,0))</f>
        <v>73.84</v>
      </c>
      <c r="I14" s="1" t="str">
        <f>INDEX('Watts and Bins'!E$2:E$25,MATCH($B14,'Watts and Bins'!$A$2:$A$25,0))</f>
        <v>61-100</v>
      </c>
      <c r="K14" s="35" t="str">
        <f t="shared" ref="K14:K36" si="5">INDEX($K$4:$K$7,MATCH($I14,$B$4:$B$7,0))</f>
        <v>SCE17LG007_00_M002</v>
      </c>
      <c r="L14" s="35" t="str">
        <f t="shared" ref="L14:L36" si="6">INDEX($L$4:$L$7,MATCH($I14,$B$4:$B$7,0))</f>
        <v>SCE17LG007_00_B002</v>
      </c>
      <c r="M14" s="1" t="s">
        <v>197</v>
      </c>
      <c r="N14" s="1" t="s">
        <v>191</v>
      </c>
    </row>
    <row r="15" spans="2:14" x14ac:dyDescent="0.25">
      <c r="B15" s="37" t="s">
        <v>60</v>
      </c>
      <c r="C15" s="37" t="s">
        <v>58</v>
      </c>
      <c r="D15" s="39">
        <f t="shared" si="3"/>
        <v>20.299000000000021</v>
      </c>
      <c r="E15" s="40">
        <f t="shared" si="4"/>
        <v>20.299000000000021</v>
      </c>
      <c r="F15" s="40">
        <v>0</v>
      </c>
      <c r="G15" s="1">
        <f>INDEX('Watts and Bins'!C$2:C$25,MATCH($B15,'Watts and Bins'!$A$2:$A$25,0))</f>
        <v>22</v>
      </c>
      <c r="H15" s="1">
        <f>INDEX('Watts and Bins'!D$2:D$25,MATCH($B15,'Watts and Bins'!$A$2:$A$25,0))</f>
        <v>62.48</v>
      </c>
      <c r="I15" s="1" t="str">
        <f>INDEX('Watts and Bins'!E$2:E$25,MATCH($B15,'Watts and Bins'!$A$2:$A$25,0))</f>
        <v>61-100</v>
      </c>
      <c r="K15" s="35" t="str">
        <f t="shared" si="5"/>
        <v>SCE17LG007_00_M002</v>
      </c>
      <c r="L15" s="35" t="str">
        <f t="shared" si="6"/>
        <v>SCE17LG007_00_B002</v>
      </c>
      <c r="M15" s="1" t="s">
        <v>198</v>
      </c>
      <c r="N15" s="1" t="s">
        <v>191</v>
      </c>
    </row>
    <row r="16" spans="2:14" x14ac:dyDescent="0.25">
      <c r="B16" s="37" t="s">
        <v>61</v>
      </c>
      <c r="C16" s="37" t="s">
        <v>58</v>
      </c>
      <c r="D16" s="39">
        <f t="shared" si="3"/>
        <v>110.77302500000002</v>
      </c>
      <c r="E16" s="40">
        <f t="shared" si="4"/>
        <v>110.77302500000002</v>
      </c>
      <c r="F16" s="40">
        <v>0</v>
      </c>
      <c r="G16" s="1">
        <f>INDEX('Watts and Bins'!C$2:C$25,MATCH($B16,'Watts and Bins'!$A$2:$A$25,0))</f>
        <v>55</v>
      </c>
      <c r="H16" s="1">
        <f>INDEX('Watts and Bins'!D$2:D$25,MATCH($B16,'Watts and Bins'!$A$2:$A$25,0))</f>
        <v>156.19999999999999</v>
      </c>
      <c r="I16" s="1" t="str">
        <f>INDEX('Watts and Bins'!E$2:E$25,MATCH($B16,'Watts and Bins'!$A$2:$A$25,0))</f>
        <v>&gt;150</v>
      </c>
      <c r="K16" s="35" t="str">
        <f t="shared" si="5"/>
        <v>SCE17LG007_00_M004</v>
      </c>
      <c r="L16" s="35" t="str">
        <f t="shared" si="6"/>
        <v>SCE17LG007_00_B004</v>
      </c>
      <c r="M16" s="1" t="s">
        <v>199</v>
      </c>
      <c r="N16" s="1" t="s">
        <v>191</v>
      </c>
    </row>
    <row r="17" spans="2:14" x14ac:dyDescent="0.25">
      <c r="B17" s="37" t="s">
        <v>62</v>
      </c>
      <c r="C17" s="37" t="s">
        <v>58</v>
      </c>
      <c r="D17" s="39">
        <f t="shared" si="3"/>
        <v>110.77302500000002</v>
      </c>
      <c r="E17" s="40">
        <f t="shared" si="4"/>
        <v>110.77302500000002</v>
      </c>
      <c r="F17" s="40">
        <v>0</v>
      </c>
      <c r="G17" s="1">
        <f>INDEX('Watts and Bins'!C$2:C$25,MATCH($B17,'Watts and Bins'!$A$2:$A$25,0))</f>
        <v>55</v>
      </c>
      <c r="H17" s="1">
        <f>INDEX('Watts and Bins'!D$2:D$25,MATCH($B17,'Watts and Bins'!$A$2:$A$25,0))</f>
        <v>156.19999999999999</v>
      </c>
      <c r="I17" s="1" t="str">
        <f>INDEX('Watts and Bins'!E$2:E$25,MATCH($B17,'Watts and Bins'!$A$2:$A$25,0))</f>
        <v>&gt;150</v>
      </c>
      <c r="K17" s="35" t="str">
        <f t="shared" si="5"/>
        <v>SCE17LG007_00_M004</v>
      </c>
      <c r="L17" s="35" t="str">
        <f t="shared" si="6"/>
        <v>SCE17LG007_00_B004</v>
      </c>
      <c r="M17" s="1" t="s">
        <v>199</v>
      </c>
      <c r="N17" s="1" t="s">
        <v>191</v>
      </c>
    </row>
    <row r="18" spans="2:14" x14ac:dyDescent="0.25">
      <c r="B18" s="37" t="s">
        <v>63</v>
      </c>
      <c r="C18" s="37" t="s">
        <v>58</v>
      </c>
      <c r="D18" s="39">
        <f t="shared" si="3"/>
        <v>20.299000000000021</v>
      </c>
      <c r="E18" s="40">
        <f t="shared" si="4"/>
        <v>20.299000000000021</v>
      </c>
      <c r="F18" s="40">
        <v>0</v>
      </c>
      <c r="G18" s="1">
        <f>INDEX('Watts and Bins'!C$2:C$25,MATCH($B18,'Watts and Bins'!$A$2:$A$25,0))</f>
        <v>22</v>
      </c>
      <c r="H18" s="1">
        <f>INDEX('Watts and Bins'!D$2:D$25,MATCH($B18,'Watts and Bins'!$A$2:$A$25,0))</f>
        <v>62.48</v>
      </c>
      <c r="I18" s="1" t="str">
        <f>INDEX('Watts and Bins'!E$2:E$25,MATCH($B18,'Watts and Bins'!$A$2:$A$25,0))</f>
        <v>61-100</v>
      </c>
      <c r="K18" s="35" t="str">
        <f t="shared" si="5"/>
        <v>SCE17LG007_00_M002</v>
      </c>
      <c r="L18" s="35" t="str">
        <f t="shared" si="6"/>
        <v>SCE17LG007_00_B002</v>
      </c>
      <c r="M18" s="1" t="s">
        <v>198</v>
      </c>
      <c r="N18" s="1" t="s">
        <v>191</v>
      </c>
    </row>
    <row r="19" spans="2:14" x14ac:dyDescent="0.25">
      <c r="B19" s="37" t="s">
        <v>64</v>
      </c>
      <c r="C19" s="37" t="s">
        <v>58</v>
      </c>
      <c r="D19" s="39">
        <f t="shared" si="3"/>
        <v>20.299000000000021</v>
      </c>
      <c r="E19" s="40">
        <f t="shared" si="4"/>
        <v>20.299000000000021</v>
      </c>
      <c r="F19" s="40">
        <v>0</v>
      </c>
      <c r="G19" s="1">
        <f>INDEX('Watts and Bins'!C$2:C$25,MATCH($B19,'Watts and Bins'!$A$2:$A$25,0))</f>
        <v>26</v>
      </c>
      <c r="H19" s="1">
        <f>INDEX('Watts and Bins'!D$2:D$25,MATCH($B19,'Watts and Bins'!$A$2:$A$25,0))</f>
        <v>73.84</v>
      </c>
      <c r="I19" s="1" t="str">
        <f>INDEX('Watts and Bins'!E$2:E$25,MATCH($B19,'Watts and Bins'!$A$2:$A$25,0))</f>
        <v>61-100</v>
      </c>
      <c r="K19" s="35" t="str">
        <f t="shared" si="5"/>
        <v>SCE17LG007_00_M002</v>
      </c>
      <c r="L19" s="35" t="str">
        <f t="shared" si="6"/>
        <v>SCE17LG007_00_B002</v>
      </c>
      <c r="M19" s="1" t="s">
        <v>197</v>
      </c>
      <c r="N19" s="1" t="s">
        <v>191</v>
      </c>
    </row>
    <row r="20" spans="2:14" x14ac:dyDescent="0.25">
      <c r="B20" s="37" t="s">
        <v>65</v>
      </c>
      <c r="C20" s="37" t="s">
        <v>58</v>
      </c>
      <c r="D20" s="39">
        <f t="shared" si="3"/>
        <v>5.4929515625000107</v>
      </c>
      <c r="E20" s="40">
        <f t="shared" si="4"/>
        <v>5.4929515625000107</v>
      </c>
      <c r="F20" s="40">
        <v>0</v>
      </c>
      <c r="G20" s="1">
        <f>INDEX('Watts and Bins'!C$2:C$25,MATCH($B20,'Watts and Bins'!$A$2:$A$25,0))</f>
        <v>18</v>
      </c>
      <c r="H20" s="1">
        <f>INDEX('Watts and Bins'!D$2:D$25,MATCH($B20,'Watts and Bins'!$A$2:$A$25,0))</f>
        <v>51.12</v>
      </c>
      <c r="I20" s="1" t="str">
        <f>INDEX('Watts and Bins'!E$2:E$25,MATCH($B20,'Watts and Bins'!$A$2:$A$25,0))</f>
        <v>&lt;=60</v>
      </c>
      <c r="K20" s="35" t="str">
        <f t="shared" si="5"/>
        <v>SCE17LG007_00_M001</v>
      </c>
      <c r="L20" s="35" t="str">
        <f t="shared" si="6"/>
        <v>SCE17LG007_00_B001</v>
      </c>
      <c r="M20" s="1" t="s">
        <v>200</v>
      </c>
      <c r="N20" s="1" t="s">
        <v>192</v>
      </c>
    </row>
    <row r="21" spans="2:14" x14ac:dyDescent="0.25">
      <c r="B21" s="37" t="s">
        <v>66</v>
      </c>
      <c r="C21" s="37" t="s">
        <v>58</v>
      </c>
      <c r="D21" s="39">
        <f t="shared" si="3"/>
        <v>5.4929515625000107</v>
      </c>
      <c r="E21" s="40">
        <f t="shared" si="4"/>
        <v>5.4929515625000107</v>
      </c>
      <c r="F21" s="40">
        <v>0</v>
      </c>
      <c r="G21" s="1">
        <f>INDEX('Watts and Bins'!C$2:C$25,MATCH($B21,'Watts and Bins'!$A$2:$A$25,0))</f>
        <v>18</v>
      </c>
      <c r="H21" s="1">
        <f>INDEX('Watts and Bins'!D$2:D$25,MATCH($B21,'Watts and Bins'!$A$2:$A$25,0))</f>
        <v>51.12</v>
      </c>
      <c r="I21" s="1" t="str">
        <f>INDEX('Watts and Bins'!E$2:E$25,MATCH($B21,'Watts and Bins'!$A$2:$A$25,0))</f>
        <v>&lt;=60</v>
      </c>
      <c r="K21" s="35" t="str">
        <f t="shared" si="5"/>
        <v>SCE17LG007_00_M001</v>
      </c>
      <c r="L21" s="35" t="str">
        <f t="shared" si="6"/>
        <v>SCE17LG007_00_B001</v>
      </c>
      <c r="M21" s="1" t="s">
        <v>200</v>
      </c>
      <c r="N21" s="1" t="s">
        <v>216</v>
      </c>
    </row>
    <row r="22" spans="2:14" x14ac:dyDescent="0.25">
      <c r="B22" s="37" t="s">
        <v>67</v>
      </c>
      <c r="C22" s="37" t="s">
        <v>58</v>
      </c>
      <c r="D22" s="39">
        <f t="shared" si="3"/>
        <v>18.827475000000007</v>
      </c>
      <c r="E22" s="40">
        <f t="shared" si="4"/>
        <v>18.827475000000007</v>
      </c>
      <c r="F22" s="40">
        <v>0</v>
      </c>
      <c r="G22" s="1">
        <f>INDEX('Watts and Bins'!C$2:C$25,MATCH($B22,'Watts and Bins'!$A$2:$A$25,0))</f>
        <v>50</v>
      </c>
      <c r="H22" s="1">
        <f>INDEX('Watts and Bins'!D$2:D$25,MATCH($B22,'Watts and Bins'!$A$2:$A$25,0))</f>
        <v>142</v>
      </c>
      <c r="I22" s="1" t="str">
        <f>INDEX('Watts and Bins'!E$2:E$25,MATCH($B22,'Watts and Bins'!$A$2:$A$25,0))</f>
        <v>101-150</v>
      </c>
      <c r="K22" s="35" t="str">
        <f t="shared" si="5"/>
        <v>SCE17LG007_00_M003</v>
      </c>
      <c r="L22" s="35" t="str">
        <f t="shared" si="6"/>
        <v>SCE17LG007_00_B003</v>
      </c>
      <c r="M22" s="1" t="s">
        <v>201</v>
      </c>
      <c r="N22" s="1" t="s">
        <v>191</v>
      </c>
    </row>
    <row r="23" spans="2:14" x14ac:dyDescent="0.25">
      <c r="B23" s="37" t="s">
        <v>68</v>
      </c>
      <c r="C23" s="37" t="s">
        <v>58</v>
      </c>
      <c r="D23" s="39">
        <f t="shared" si="3"/>
        <v>5.4929515625000107</v>
      </c>
      <c r="E23" s="40">
        <f t="shared" si="4"/>
        <v>5.4929515625000107</v>
      </c>
      <c r="F23" s="40">
        <v>0</v>
      </c>
      <c r="G23" s="1">
        <f>INDEX('Watts and Bins'!C$2:C$25,MATCH($B23,'Watts and Bins'!$A$2:$A$25,0))</f>
        <v>20</v>
      </c>
      <c r="H23" s="1">
        <f>INDEX('Watts and Bins'!D$2:D$25,MATCH($B23,'Watts and Bins'!$A$2:$A$25,0))</f>
        <v>56.8</v>
      </c>
      <c r="I23" s="1" t="str">
        <f>INDEX('Watts and Bins'!E$2:E$25,MATCH($B23,'Watts and Bins'!$A$2:$A$25,0))</f>
        <v>&lt;=60</v>
      </c>
      <c r="K23" s="35" t="str">
        <f t="shared" si="5"/>
        <v>SCE17LG007_00_M001</v>
      </c>
      <c r="L23" s="35" t="str">
        <f t="shared" si="6"/>
        <v>SCE17LG007_00_B001</v>
      </c>
      <c r="M23" s="1" t="s">
        <v>202</v>
      </c>
      <c r="N23" s="1" t="s">
        <v>191</v>
      </c>
    </row>
    <row r="24" spans="2:14" x14ac:dyDescent="0.25">
      <c r="B24" s="37" t="s">
        <v>69</v>
      </c>
      <c r="C24" s="37" t="s">
        <v>58</v>
      </c>
      <c r="D24" s="39">
        <f t="shared" si="3"/>
        <v>18.827475000000007</v>
      </c>
      <c r="E24" s="40">
        <f t="shared" si="4"/>
        <v>18.827475000000007</v>
      </c>
      <c r="F24" s="40">
        <v>0</v>
      </c>
      <c r="G24" s="1">
        <f>INDEX('Watts and Bins'!C$2:C$25,MATCH($B24,'Watts and Bins'!$A$2:$A$25,0))</f>
        <v>50</v>
      </c>
      <c r="H24" s="1">
        <f>INDEX('Watts and Bins'!D$2:D$25,MATCH($B24,'Watts and Bins'!$A$2:$A$25,0))</f>
        <v>142</v>
      </c>
      <c r="I24" s="1" t="str">
        <f>INDEX('Watts and Bins'!E$2:E$25,MATCH($B24,'Watts and Bins'!$A$2:$A$25,0))</f>
        <v>101-150</v>
      </c>
      <c r="K24" s="35" t="str">
        <f t="shared" si="5"/>
        <v>SCE17LG007_00_M003</v>
      </c>
      <c r="L24" s="35" t="str">
        <f t="shared" si="6"/>
        <v>SCE17LG007_00_B003</v>
      </c>
      <c r="M24" s="1" t="s">
        <v>201</v>
      </c>
      <c r="N24" s="1" t="s">
        <v>191</v>
      </c>
    </row>
    <row r="25" spans="2:14" x14ac:dyDescent="0.25">
      <c r="B25" s="37" t="s">
        <v>70</v>
      </c>
      <c r="C25" s="37" t="s">
        <v>58</v>
      </c>
      <c r="D25" s="39">
        <f t="shared" si="3"/>
        <v>5.4929515625000107</v>
      </c>
      <c r="E25" s="40">
        <f t="shared" si="4"/>
        <v>5.4929515625000107</v>
      </c>
      <c r="F25" s="40">
        <v>0</v>
      </c>
      <c r="G25" s="1">
        <f>INDEX('Watts and Bins'!C$2:C$25,MATCH($B25,'Watts and Bins'!$A$2:$A$25,0))</f>
        <v>20</v>
      </c>
      <c r="H25" s="1">
        <f>INDEX('Watts and Bins'!D$2:D$25,MATCH($B25,'Watts and Bins'!$A$2:$A$25,0))</f>
        <v>56.8</v>
      </c>
      <c r="I25" s="1" t="str">
        <f>INDEX('Watts and Bins'!E$2:E$25,MATCH($B25,'Watts and Bins'!$A$2:$A$25,0))</f>
        <v>&lt;=60</v>
      </c>
      <c r="K25" s="35" t="str">
        <f t="shared" si="5"/>
        <v>SCE17LG007_00_M001</v>
      </c>
      <c r="L25" s="35" t="str">
        <f t="shared" si="6"/>
        <v>SCE17LG007_00_B001</v>
      </c>
      <c r="M25" s="1" t="s">
        <v>202</v>
      </c>
      <c r="N25" s="1" t="s">
        <v>191</v>
      </c>
    </row>
    <row r="26" spans="2:14" x14ac:dyDescent="0.25">
      <c r="B26" s="37" t="s">
        <v>71</v>
      </c>
      <c r="C26" s="37" t="s">
        <v>58</v>
      </c>
      <c r="D26" s="39">
        <f t="shared" si="3"/>
        <v>5.4929515625000107</v>
      </c>
      <c r="E26" s="40">
        <f t="shared" si="4"/>
        <v>5.4929515625000107</v>
      </c>
      <c r="F26" s="40">
        <v>0</v>
      </c>
      <c r="G26" s="1">
        <f>INDEX('Watts and Bins'!C$2:C$25,MATCH($B26,'Watts and Bins'!$A$2:$A$25,0))</f>
        <v>13</v>
      </c>
      <c r="H26" s="1">
        <f>INDEX('Watts and Bins'!D$2:D$25,MATCH($B26,'Watts and Bins'!$A$2:$A$25,0))</f>
        <v>36.92</v>
      </c>
      <c r="I26" s="1" t="str">
        <f>INDEX('Watts and Bins'!E$2:E$25,MATCH($B26,'Watts and Bins'!$A$2:$A$25,0))</f>
        <v>&lt;=60</v>
      </c>
      <c r="K26" s="35" t="str">
        <f t="shared" si="5"/>
        <v>SCE17LG007_00_M001</v>
      </c>
      <c r="L26" s="35" t="str">
        <f t="shared" si="6"/>
        <v>SCE17LG007_00_B001</v>
      </c>
      <c r="M26" s="1" t="s">
        <v>203</v>
      </c>
      <c r="N26" s="1" t="s">
        <v>191</v>
      </c>
    </row>
    <row r="27" spans="2:14" x14ac:dyDescent="0.25">
      <c r="B27" s="37" t="s">
        <v>72</v>
      </c>
      <c r="C27" s="37" t="s">
        <v>58</v>
      </c>
      <c r="D27" s="39">
        <f t="shared" si="3"/>
        <v>5.4929515625000107</v>
      </c>
      <c r="E27" s="40">
        <f t="shared" si="4"/>
        <v>5.4929515625000107</v>
      </c>
      <c r="F27" s="40">
        <v>0</v>
      </c>
      <c r="G27" s="1">
        <f>INDEX('Watts and Bins'!C$2:C$25,MATCH($B27,'Watts and Bins'!$A$2:$A$25,0))</f>
        <v>18</v>
      </c>
      <c r="H27" s="1">
        <f>INDEX('Watts and Bins'!D$2:D$25,MATCH($B27,'Watts and Bins'!$A$2:$A$25,0))</f>
        <v>51.12</v>
      </c>
      <c r="I27" s="1" t="str">
        <f>INDEX('Watts and Bins'!E$2:E$25,MATCH($B27,'Watts and Bins'!$A$2:$A$25,0))</f>
        <v>&lt;=60</v>
      </c>
      <c r="K27" s="35" t="str">
        <f t="shared" si="5"/>
        <v>SCE17LG007_00_M001</v>
      </c>
      <c r="L27" s="35" t="str">
        <f t="shared" si="6"/>
        <v>SCE17LG007_00_B001</v>
      </c>
      <c r="M27" s="1" t="s">
        <v>200</v>
      </c>
      <c r="N27" s="1" t="s">
        <v>194</v>
      </c>
    </row>
    <row r="28" spans="2:14" x14ac:dyDescent="0.25">
      <c r="B28" s="37" t="s">
        <v>73</v>
      </c>
      <c r="C28" s="37" t="s">
        <v>58</v>
      </c>
      <c r="D28" s="39">
        <f t="shared" si="3"/>
        <v>5.4929515625000107</v>
      </c>
      <c r="E28" s="40">
        <f t="shared" si="4"/>
        <v>5.4929515625000107</v>
      </c>
      <c r="F28" s="40">
        <v>0</v>
      </c>
      <c r="G28" s="1">
        <f>INDEX('Watts and Bins'!C$2:C$25,MATCH($B28,'Watts and Bins'!$A$2:$A$25,0))</f>
        <v>13</v>
      </c>
      <c r="H28" s="1">
        <f>INDEX('Watts and Bins'!D$2:D$25,MATCH($B28,'Watts and Bins'!$A$2:$A$25,0))</f>
        <v>36.92</v>
      </c>
      <c r="I28" s="1" t="str">
        <f>INDEX('Watts and Bins'!E$2:E$25,MATCH($B28,'Watts and Bins'!$A$2:$A$25,0))</f>
        <v>&lt;=60</v>
      </c>
      <c r="K28" s="35" t="str">
        <f t="shared" si="5"/>
        <v>SCE17LG007_00_M001</v>
      </c>
      <c r="L28" s="35" t="str">
        <f t="shared" si="6"/>
        <v>SCE17LG007_00_B001</v>
      </c>
      <c r="M28" s="1" t="s">
        <v>203</v>
      </c>
      <c r="N28" s="1" t="s">
        <v>191</v>
      </c>
    </row>
    <row r="29" spans="2:14" x14ac:dyDescent="0.25">
      <c r="B29" s="37" t="s">
        <v>74</v>
      </c>
      <c r="C29" s="37" t="s">
        <v>58</v>
      </c>
      <c r="D29" s="39">
        <f t="shared" si="3"/>
        <v>18.827475000000007</v>
      </c>
      <c r="E29" s="40">
        <f t="shared" si="4"/>
        <v>18.827475000000007</v>
      </c>
      <c r="F29" s="40">
        <v>0</v>
      </c>
      <c r="G29" s="1">
        <f>INDEX('Watts and Bins'!C$2:C$25,MATCH($B29,'Watts and Bins'!$A$2:$A$25,0))</f>
        <v>36</v>
      </c>
      <c r="H29" s="1">
        <f>INDEX('Watts and Bins'!D$2:D$25,MATCH($B29,'Watts and Bins'!$A$2:$A$25,0))</f>
        <v>102.24</v>
      </c>
      <c r="I29" s="1" t="str">
        <f>INDEX('Watts and Bins'!E$2:E$25,MATCH($B29,'Watts and Bins'!$A$2:$A$25,0))</f>
        <v>101-150</v>
      </c>
      <c r="K29" s="35" t="str">
        <f t="shared" si="5"/>
        <v>SCE17LG007_00_M003</v>
      </c>
      <c r="L29" s="35" t="str">
        <f t="shared" si="6"/>
        <v>SCE17LG007_00_B003</v>
      </c>
      <c r="M29" s="1" t="s">
        <v>204</v>
      </c>
      <c r="N29" s="1" t="s">
        <v>191</v>
      </c>
    </row>
    <row r="30" spans="2:14" x14ac:dyDescent="0.25">
      <c r="B30" s="37" t="s">
        <v>75</v>
      </c>
      <c r="C30" s="37" t="s">
        <v>58</v>
      </c>
      <c r="D30" s="39">
        <f t="shared" si="3"/>
        <v>20.299000000000021</v>
      </c>
      <c r="E30" s="40">
        <f t="shared" si="4"/>
        <v>20.299000000000021</v>
      </c>
      <c r="F30" s="40">
        <v>0</v>
      </c>
      <c r="G30" s="1">
        <f>INDEX('Watts and Bins'!C$2:C$25,MATCH($B30,'Watts and Bins'!$A$2:$A$25,0))</f>
        <v>23</v>
      </c>
      <c r="H30" s="1">
        <f>INDEX('Watts and Bins'!D$2:D$25,MATCH($B30,'Watts and Bins'!$A$2:$A$25,0))</f>
        <v>65.319999999999993</v>
      </c>
      <c r="I30" s="1" t="str">
        <f>INDEX('Watts and Bins'!E$2:E$25,MATCH($B30,'Watts and Bins'!$A$2:$A$25,0))</f>
        <v>61-100</v>
      </c>
      <c r="K30" s="35" t="str">
        <f t="shared" si="5"/>
        <v>SCE17LG007_00_M002</v>
      </c>
      <c r="L30" s="35" t="str">
        <f t="shared" si="6"/>
        <v>SCE17LG007_00_B002</v>
      </c>
      <c r="M30" s="1" t="s">
        <v>205</v>
      </c>
      <c r="N30" s="1" t="s">
        <v>191</v>
      </c>
    </row>
    <row r="31" spans="2:14" x14ac:dyDescent="0.25">
      <c r="B31" s="37" t="s">
        <v>76</v>
      </c>
      <c r="C31" s="37" t="s">
        <v>58</v>
      </c>
      <c r="D31" s="39">
        <f t="shared" si="3"/>
        <v>20.299000000000021</v>
      </c>
      <c r="E31" s="40">
        <f t="shared" si="4"/>
        <v>20.299000000000021</v>
      </c>
      <c r="F31" s="40">
        <v>0</v>
      </c>
      <c r="G31" s="1">
        <f>INDEX('Watts and Bins'!C$2:C$25,MATCH($B31,'Watts and Bins'!$A$2:$A$25,0))</f>
        <v>27</v>
      </c>
      <c r="H31" s="1">
        <f>INDEX('Watts and Bins'!D$2:D$25,MATCH($B31,'Watts and Bins'!$A$2:$A$25,0))</f>
        <v>76.679999999999993</v>
      </c>
      <c r="I31" s="1" t="str">
        <f>INDEX('Watts and Bins'!E$2:E$25,MATCH($B31,'Watts and Bins'!$A$2:$A$25,0))</f>
        <v>61-100</v>
      </c>
      <c r="K31" s="35" t="str">
        <f t="shared" si="5"/>
        <v>SCE17LG007_00_M002</v>
      </c>
      <c r="L31" s="35" t="str">
        <f t="shared" si="6"/>
        <v>SCE17LG007_00_B002</v>
      </c>
      <c r="M31" s="1" t="s">
        <v>206</v>
      </c>
      <c r="N31" s="1" t="s">
        <v>191</v>
      </c>
    </row>
    <row r="32" spans="2:14" x14ac:dyDescent="0.25">
      <c r="B32" s="37" t="s">
        <v>77</v>
      </c>
      <c r="C32" s="37" t="s">
        <v>58</v>
      </c>
      <c r="D32" s="39">
        <f t="shared" si="3"/>
        <v>20.299000000000021</v>
      </c>
      <c r="E32" s="40">
        <f t="shared" si="4"/>
        <v>20.299000000000021</v>
      </c>
      <c r="F32" s="40">
        <v>0</v>
      </c>
      <c r="G32" s="1">
        <f>INDEX('Watts and Bins'!C$2:C$25,MATCH($B32,'Watts and Bins'!$A$2:$A$25,0))</f>
        <v>23</v>
      </c>
      <c r="H32" s="1">
        <f>INDEX('Watts and Bins'!D$2:D$25,MATCH($B32,'Watts and Bins'!$A$2:$A$25,0))</f>
        <v>65.319999999999993</v>
      </c>
      <c r="I32" s="1" t="str">
        <f>INDEX('Watts and Bins'!E$2:E$25,MATCH($B32,'Watts and Bins'!$A$2:$A$25,0))</f>
        <v>61-100</v>
      </c>
      <c r="K32" s="35" t="str">
        <f t="shared" si="5"/>
        <v>SCE17LG007_00_M002</v>
      </c>
      <c r="L32" s="35" t="str">
        <f t="shared" si="6"/>
        <v>SCE17LG007_00_B002</v>
      </c>
      <c r="M32" s="1" t="s">
        <v>205</v>
      </c>
      <c r="N32" s="1" t="s">
        <v>191</v>
      </c>
    </row>
    <row r="33" spans="2:14" x14ac:dyDescent="0.25">
      <c r="B33" s="37" t="s">
        <v>78</v>
      </c>
      <c r="C33" s="37" t="s">
        <v>58</v>
      </c>
      <c r="D33" s="39">
        <f t="shared" si="3"/>
        <v>110.77302500000002</v>
      </c>
      <c r="E33" s="40">
        <f t="shared" si="4"/>
        <v>110.77302500000002</v>
      </c>
      <c r="F33" s="40">
        <v>0</v>
      </c>
      <c r="G33" s="1">
        <f>INDEX('Watts and Bins'!C$2:C$25,MATCH($B33,'Watts and Bins'!$A$2:$A$25,0))</f>
        <v>65</v>
      </c>
      <c r="H33" s="1">
        <f>INDEX('Watts and Bins'!D$2:D$25,MATCH($B33,'Watts and Bins'!$A$2:$A$25,0))</f>
        <v>184.6</v>
      </c>
      <c r="I33" s="1" t="str">
        <f>INDEX('Watts and Bins'!E$2:E$25,MATCH($B33,'Watts and Bins'!$A$2:$A$25,0))</f>
        <v>&gt;150</v>
      </c>
      <c r="K33" s="35" t="str">
        <f t="shared" si="5"/>
        <v>SCE17LG007_00_M004</v>
      </c>
      <c r="L33" s="35" t="str">
        <f t="shared" si="6"/>
        <v>SCE17LG007_00_B004</v>
      </c>
      <c r="M33" s="1" t="s">
        <v>207</v>
      </c>
      <c r="N33" s="1" t="s">
        <v>191</v>
      </c>
    </row>
    <row r="34" spans="2:14" x14ac:dyDescent="0.25">
      <c r="B34" s="37" t="s">
        <v>79</v>
      </c>
      <c r="C34" s="37" t="s">
        <v>58</v>
      </c>
      <c r="D34" s="39">
        <f t="shared" si="3"/>
        <v>20.299000000000021</v>
      </c>
      <c r="E34" s="40">
        <f t="shared" si="4"/>
        <v>20.299000000000021</v>
      </c>
      <c r="F34" s="40">
        <v>0</v>
      </c>
      <c r="G34" s="1">
        <f>INDEX('Watts and Bins'!C$2:C$25,MATCH($B34,'Watts and Bins'!$A$2:$A$25,0))</f>
        <v>27</v>
      </c>
      <c r="H34" s="1">
        <f>INDEX('Watts and Bins'!D$2:D$25,MATCH($B34,'Watts and Bins'!$A$2:$A$25,0))</f>
        <v>76.679999999999993</v>
      </c>
      <c r="I34" s="1" t="str">
        <f>INDEX('Watts and Bins'!E$2:E$25,MATCH($B34,'Watts and Bins'!$A$2:$A$25,0))</f>
        <v>61-100</v>
      </c>
      <c r="K34" s="35" t="str">
        <f t="shared" si="5"/>
        <v>SCE17LG007_00_M002</v>
      </c>
      <c r="L34" s="35" t="str">
        <f t="shared" si="6"/>
        <v>SCE17LG007_00_B002</v>
      </c>
      <c r="M34" s="1" t="s">
        <v>206</v>
      </c>
      <c r="N34" s="1" t="s">
        <v>191</v>
      </c>
    </row>
    <row r="35" spans="2:14" x14ac:dyDescent="0.25">
      <c r="B35" s="37" t="s">
        <v>80</v>
      </c>
      <c r="C35" s="37" t="s">
        <v>58</v>
      </c>
      <c r="D35" s="39">
        <f t="shared" si="3"/>
        <v>18.827475000000007</v>
      </c>
      <c r="E35" s="40">
        <f t="shared" si="4"/>
        <v>18.827475000000007</v>
      </c>
      <c r="F35" s="40">
        <v>0</v>
      </c>
      <c r="G35" s="1">
        <f>INDEX('Watts and Bins'!C$2:C$25,MATCH($B35,'Watts and Bins'!$A$2:$A$25,0))</f>
        <v>36</v>
      </c>
      <c r="H35" s="1">
        <f>INDEX('Watts and Bins'!D$2:D$25,MATCH($B35,'Watts and Bins'!$A$2:$A$25,0))</f>
        <v>102.24</v>
      </c>
      <c r="I35" s="1" t="str">
        <f>INDEX('Watts and Bins'!E$2:E$25,MATCH($B35,'Watts and Bins'!$A$2:$A$25,0))</f>
        <v>101-150</v>
      </c>
      <c r="K35" s="35" t="str">
        <f t="shared" si="5"/>
        <v>SCE17LG007_00_M003</v>
      </c>
      <c r="L35" s="35" t="str">
        <f t="shared" si="6"/>
        <v>SCE17LG007_00_B003</v>
      </c>
      <c r="M35" s="1" t="s">
        <v>204</v>
      </c>
      <c r="N35" s="1" t="s">
        <v>191</v>
      </c>
    </row>
    <row r="36" spans="2:14" x14ac:dyDescent="0.25">
      <c r="B36" s="37" t="s">
        <v>81</v>
      </c>
      <c r="C36" s="37" t="s">
        <v>58</v>
      </c>
      <c r="D36" s="39">
        <f t="shared" si="3"/>
        <v>110.77302500000002</v>
      </c>
      <c r="E36" s="40">
        <f t="shared" si="4"/>
        <v>110.77302500000002</v>
      </c>
      <c r="F36" s="40">
        <v>0</v>
      </c>
      <c r="G36" s="1">
        <f>INDEX('Watts and Bins'!C$2:C$25,MATCH($B36,'Watts and Bins'!$A$2:$A$25,0))</f>
        <v>65</v>
      </c>
      <c r="H36" s="1">
        <f>INDEX('Watts and Bins'!D$2:D$25,MATCH($B36,'Watts and Bins'!$A$2:$A$25,0))</f>
        <v>184.6</v>
      </c>
      <c r="I36" s="1" t="str">
        <f>INDEX('Watts and Bins'!E$2:E$25,MATCH($B36,'Watts and Bins'!$A$2:$A$25,0))</f>
        <v>&gt;150</v>
      </c>
      <c r="K36" s="35" t="str">
        <f t="shared" si="5"/>
        <v>SCE17LG007_00_M004</v>
      </c>
      <c r="L36" s="35" t="str">
        <f t="shared" si="6"/>
        <v>SCE17LG007_00_B004</v>
      </c>
      <c r="M36" s="1" t="s">
        <v>207</v>
      </c>
      <c r="N36" s="1" t="s">
        <v>191</v>
      </c>
    </row>
  </sheetData>
  <autoFilter ref="B12:N36"/>
  <mergeCells count="1">
    <mergeCell ref="E11:F1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zoomScale="70" zoomScaleNormal="70" workbookViewId="0">
      <selection activeCell="E43" sqref="E43"/>
    </sheetView>
  </sheetViews>
  <sheetFormatPr defaultRowHeight="14.4" x14ac:dyDescent="0.3"/>
  <cols>
    <col min="2" max="2" width="89.6640625" bestFit="1" customWidth="1"/>
    <col min="3" max="3" width="14.44140625" bestFit="1" customWidth="1"/>
    <col min="4" max="4" width="16.88671875" bestFit="1" customWidth="1"/>
    <col min="6" max="6" width="20.109375" bestFit="1" customWidth="1"/>
    <col min="7" max="7" width="109" bestFit="1" customWidth="1"/>
  </cols>
  <sheetData>
    <row r="1" spans="1:7" x14ac:dyDescent="0.3">
      <c r="A1" s="1" t="s">
        <v>19</v>
      </c>
      <c r="B1" s="1" t="s">
        <v>176</v>
      </c>
      <c r="C1" s="1" t="s">
        <v>170</v>
      </c>
      <c r="D1" s="1" t="s">
        <v>169</v>
      </c>
      <c r="E1" s="1" t="s">
        <v>172</v>
      </c>
      <c r="F1" s="1" t="s">
        <v>195</v>
      </c>
      <c r="G1" s="1" t="s">
        <v>189</v>
      </c>
    </row>
    <row r="2" spans="1:7" x14ac:dyDescent="0.3">
      <c r="A2" s="38" t="s">
        <v>71</v>
      </c>
      <c r="B2" s="1" t="s">
        <v>168</v>
      </c>
      <c r="C2" s="1">
        <v>13</v>
      </c>
      <c r="D2" s="1">
        <f t="shared" ref="D2:D24" si="0">C2*2.84</f>
        <v>36.92</v>
      </c>
      <c r="E2" s="1" t="s">
        <v>113</v>
      </c>
      <c r="F2" s="1" t="str">
        <f>INDEX('Cost Summary'!M$13:M$36,MATCH('Watts and Bins'!$A2,'Cost Summary'!$B$13:$B$36,0))</f>
        <v>CFLfixt-13w-ext(13w)</v>
      </c>
      <c r="G2" s="1" t="s">
        <v>191</v>
      </c>
    </row>
    <row r="3" spans="1:7" x14ac:dyDescent="0.3">
      <c r="A3" s="38" t="s">
        <v>73</v>
      </c>
      <c r="B3" s="1" t="s">
        <v>167</v>
      </c>
      <c r="C3" s="1">
        <v>13</v>
      </c>
      <c r="D3" s="1">
        <f t="shared" si="0"/>
        <v>36.92</v>
      </c>
      <c r="E3" s="1" t="s">
        <v>113</v>
      </c>
      <c r="F3" s="1" t="str">
        <f>INDEX('Cost Summary'!M$13:M$36,MATCH('Watts and Bins'!$A3,'Cost Summary'!$B$13:$B$36,0))</f>
        <v>CFLfixt-13w-ext(13w)</v>
      </c>
      <c r="G3" s="1" t="s">
        <v>191</v>
      </c>
    </row>
    <row r="4" spans="1:7" x14ac:dyDescent="0.3">
      <c r="A4" s="38" t="s">
        <v>72</v>
      </c>
      <c r="B4" s="1" t="s">
        <v>166</v>
      </c>
      <c r="C4" s="1">
        <v>18</v>
      </c>
      <c r="D4" s="1">
        <f t="shared" si="0"/>
        <v>51.12</v>
      </c>
      <c r="E4" s="1" t="s">
        <v>113</v>
      </c>
      <c r="F4" s="1" t="str">
        <f>INDEX('Cost Summary'!M$13:M$36,MATCH('Watts and Bins'!$A4,'Cost Summary'!$B$13:$B$36,0))</f>
        <v>CFLfixt-18w-ext(18w)</v>
      </c>
      <c r="G4" s="1" t="s">
        <v>194</v>
      </c>
    </row>
    <row r="5" spans="1:7" x14ac:dyDescent="0.3">
      <c r="A5" s="38" t="s">
        <v>65</v>
      </c>
      <c r="B5" s="1" t="s">
        <v>165</v>
      </c>
      <c r="C5" s="1">
        <v>18</v>
      </c>
      <c r="D5" s="1">
        <f t="shared" si="0"/>
        <v>51.12</v>
      </c>
      <c r="E5" s="1" t="s">
        <v>113</v>
      </c>
      <c r="F5" s="1" t="str">
        <f>INDEX('Cost Summary'!M$13:M$36,MATCH('Watts and Bins'!$A5,'Cost Summary'!$B$13:$B$36,0))</f>
        <v>CFLfixt-18w-ext(18w)</v>
      </c>
      <c r="G5" s="1" t="s">
        <v>192</v>
      </c>
    </row>
    <row r="6" spans="1:7" x14ac:dyDescent="0.3">
      <c r="A6" s="38" t="s">
        <v>66</v>
      </c>
      <c r="B6" s="1" t="s">
        <v>164</v>
      </c>
      <c r="C6" s="1">
        <v>18</v>
      </c>
      <c r="D6" s="1">
        <f t="shared" si="0"/>
        <v>51.12</v>
      </c>
      <c r="E6" s="1" t="s">
        <v>113</v>
      </c>
      <c r="F6" s="1" t="str">
        <f>INDEX('Cost Summary'!M$13:M$36,MATCH('Watts and Bins'!$A6,'Cost Summary'!$B$13:$B$36,0))</f>
        <v>CFLfixt-18w-ext(18w)</v>
      </c>
      <c r="G6" s="1" t="s">
        <v>193</v>
      </c>
    </row>
    <row r="7" spans="1:7" x14ac:dyDescent="0.3">
      <c r="A7" s="38" t="s">
        <v>68</v>
      </c>
      <c r="B7" s="1" t="s">
        <v>163</v>
      </c>
      <c r="C7" s="1">
        <v>20</v>
      </c>
      <c r="D7" s="1">
        <f t="shared" si="0"/>
        <v>56.8</v>
      </c>
      <c r="E7" s="1" t="s">
        <v>113</v>
      </c>
      <c r="F7" s="1" t="str">
        <f>INDEX('Cost Summary'!M$13:M$36,MATCH('Watts and Bins'!$A7,'Cost Summary'!$B$13:$B$36,0))</f>
        <v>CFLfixt-20w-ext(20w)</v>
      </c>
      <c r="G7" s="1" t="s">
        <v>191</v>
      </c>
    </row>
    <row r="8" spans="1:7" x14ac:dyDescent="0.3">
      <c r="A8" s="38" t="s">
        <v>70</v>
      </c>
      <c r="B8" s="1" t="s">
        <v>162</v>
      </c>
      <c r="C8" s="1">
        <v>20</v>
      </c>
      <c r="D8" s="1">
        <f t="shared" si="0"/>
        <v>56.8</v>
      </c>
      <c r="E8" s="1" t="s">
        <v>113</v>
      </c>
      <c r="F8" s="1" t="str">
        <f>INDEX('Cost Summary'!M$13:M$36,MATCH('Watts and Bins'!$A8,'Cost Summary'!$B$13:$B$36,0))</f>
        <v>CFLfixt-20w-ext(20w)</v>
      </c>
      <c r="G8" s="1" t="s">
        <v>191</v>
      </c>
    </row>
    <row r="9" spans="1:7" x14ac:dyDescent="0.3">
      <c r="A9" s="38" t="s">
        <v>60</v>
      </c>
      <c r="B9" s="1" t="s">
        <v>161</v>
      </c>
      <c r="C9" s="1">
        <v>22</v>
      </c>
      <c r="D9" s="1">
        <f t="shared" si="0"/>
        <v>62.48</v>
      </c>
      <c r="E9" s="1" t="s">
        <v>114</v>
      </c>
      <c r="F9" s="1" t="str">
        <f>INDEX('Cost Summary'!M$13:M$36,MATCH('Watts and Bins'!$A9,'Cost Summary'!$B$13:$B$36,0))</f>
        <v>CFLfixt-22w-ext(22w)</v>
      </c>
      <c r="G9" s="1" t="s">
        <v>191</v>
      </c>
    </row>
    <row r="10" spans="1:7" x14ac:dyDescent="0.3">
      <c r="A10" s="38" t="s">
        <v>63</v>
      </c>
      <c r="B10" s="1" t="s">
        <v>160</v>
      </c>
      <c r="C10" s="1">
        <v>22</v>
      </c>
      <c r="D10" s="1">
        <f t="shared" si="0"/>
        <v>62.48</v>
      </c>
      <c r="E10" s="1" t="s">
        <v>114</v>
      </c>
      <c r="F10" s="1" t="str">
        <f>INDEX('Cost Summary'!M$13:M$36,MATCH('Watts and Bins'!$A10,'Cost Summary'!$B$13:$B$36,0))</f>
        <v>CFLfixt-22w-ext(22w)</v>
      </c>
      <c r="G10" s="1" t="s">
        <v>191</v>
      </c>
    </row>
    <row r="11" spans="1:7" x14ac:dyDescent="0.3">
      <c r="A11" s="38" t="s">
        <v>75</v>
      </c>
      <c r="B11" s="1" t="s">
        <v>159</v>
      </c>
      <c r="C11" s="1">
        <v>23</v>
      </c>
      <c r="D11" s="1">
        <f t="shared" si="0"/>
        <v>65.319999999999993</v>
      </c>
      <c r="E11" s="1" t="s">
        <v>114</v>
      </c>
      <c r="F11" s="1" t="str">
        <f>INDEX('Cost Summary'!M$13:M$36,MATCH('Watts and Bins'!$A11,'Cost Summary'!$B$13:$B$36,0))</f>
        <v>CFLfixt-23w-ext(23w)</v>
      </c>
      <c r="G11" s="1" t="s">
        <v>191</v>
      </c>
    </row>
    <row r="12" spans="1:7" x14ac:dyDescent="0.3">
      <c r="A12" s="38" t="s">
        <v>77</v>
      </c>
      <c r="B12" s="1" t="s">
        <v>158</v>
      </c>
      <c r="C12" s="1">
        <v>23</v>
      </c>
      <c r="D12" s="1">
        <f t="shared" si="0"/>
        <v>65.319999999999993</v>
      </c>
      <c r="E12" s="1" t="s">
        <v>114</v>
      </c>
      <c r="F12" s="1" t="str">
        <f>INDEX('Cost Summary'!M$13:M$36,MATCH('Watts and Bins'!$A12,'Cost Summary'!$B$13:$B$36,0))</f>
        <v>CFLfixt-23w-ext(23w)</v>
      </c>
      <c r="G12" s="1" t="s">
        <v>191</v>
      </c>
    </row>
    <row r="13" spans="1:7" x14ac:dyDescent="0.3">
      <c r="A13" s="38" t="s">
        <v>59</v>
      </c>
      <c r="B13" s="1" t="s">
        <v>157</v>
      </c>
      <c r="C13" s="1">
        <v>26</v>
      </c>
      <c r="D13" s="1">
        <f t="shared" si="0"/>
        <v>73.84</v>
      </c>
      <c r="E13" s="1" t="s">
        <v>114</v>
      </c>
      <c r="F13" s="1" t="str">
        <f>INDEX('Cost Summary'!M$13:M$36,MATCH('Watts and Bins'!$A13,'Cost Summary'!$B$13:$B$36,0))</f>
        <v>CFLfixt-26w-ext(26w)</v>
      </c>
      <c r="G13" s="1" t="s">
        <v>191</v>
      </c>
    </row>
    <row r="14" spans="1:7" x14ac:dyDescent="0.3">
      <c r="A14" s="38" t="s">
        <v>64</v>
      </c>
      <c r="B14" s="1" t="s">
        <v>156</v>
      </c>
      <c r="C14" s="1">
        <v>26</v>
      </c>
      <c r="D14" s="1">
        <f t="shared" si="0"/>
        <v>73.84</v>
      </c>
      <c r="E14" s="1" t="s">
        <v>114</v>
      </c>
      <c r="F14" s="1" t="str">
        <f>INDEX('Cost Summary'!M$13:M$36,MATCH('Watts and Bins'!$A14,'Cost Summary'!$B$13:$B$36,0))</f>
        <v>CFLfixt-26w-ext(26w)</v>
      </c>
      <c r="G14" s="1" t="s">
        <v>191</v>
      </c>
    </row>
    <row r="15" spans="1:7" x14ac:dyDescent="0.3">
      <c r="A15" s="38" t="s">
        <v>76</v>
      </c>
      <c r="B15" s="1" t="s">
        <v>155</v>
      </c>
      <c r="C15" s="1">
        <v>27</v>
      </c>
      <c r="D15" s="1">
        <f t="shared" si="0"/>
        <v>76.679999999999993</v>
      </c>
      <c r="E15" s="1" t="s">
        <v>114</v>
      </c>
      <c r="F15" s="1" t="str">
        <f>INDEX('Cost Summary'!M$13:M$36,MATCH('Watts and Bins'!$A15,'Cost Summary'!$B$13:$B$36,0))</f>
        <v>CFLfixt-27w-ext(27w)</v>
      </c>
      <c r="G15" s="1" t="s">
        <v>191</v>
      </c>
    </row>
    <row r="16" spans="1:7" x14ac:dyDescent="0.3">
      <c r="A16" s="38" t="s">
        <v>79</v>
      </c>
      <c r="B16" s="1" t="s">
        <v>154</v>
      </c>
      <c r="C16" s="1">
        <v>27</v>
      </c>
      <c r="D16" s="1">
        <f t="shared" si="0"/>
        <v>76.679999999999993</v>
      </c>
      <c r="E16" s="1" t="s">
        <v>114</v>
      </c>
      <c r="F16" s="1" t="str">
        <f>INDEX('Cost Summary'!M$13:M$36,MATCH('Watts and Bins'!$A16,'Cost Summary'!$B$13:$B$36,0))</f>
        <v>CFLfixt-27w-ext(27w)</v>
      </c>
      <c r="G16" s="1" t="s">
        <v>191</v>
      </c>
    </row>
    <row r="17" spans="1:7" x14ac:dyDescent="0.3">
      <c r="A17" s="38" t="s">
        <v>74</v>
      </c>
      <c r="B17" s="1" t="s">
        <v>153</v>
      </c>
      <c r="C17" s="1">
        <v>36</v>
      </c>
      <c r="D17" s="1">
        <f t="shared" si="0"/>
        <v>102.24</v>
      </c>
      <c r="E17" s="1" t="s">
        <v>115</v>
      </c>
      <c r="F17" s="1" t="str">
        <f>INDEX('Cost Summary'!M$13:M$36,MATCH('Watts and Bins'!$A17,'Cost Summary'!$B$13:$B$36,0))</f>
        <v>CFLfixt-36w-ext(36w)</v>
      </c>
      <c r="G17" s="1" t="s">
        <v>191</v>
      </c>
    </row>
    <row r="18" spans="1:7" x14ac:dyDescent="0.3">
      <c r="A18" s="38" t="s">
        <v>80</v>
      </c>
      <c r="B18" s="1" t="s">
        <v>152</v>
      </c>
      <c r="C18" s="1">
        <v>36</v>
      </c>
      <c r="D18" s="1">
        <f t="shared" si="0"/>
        <v>102.24</v>
      </c>
      <c r="E18" s="1" t="s">
        <v>115</v>
      </c>
      <c r="F18" s="1" t="str">
        <f>INDEX('Cost Summary'!M$13:M$36,MATCH('Watts and Bins'!$A18,'Cost Summary'!$B$13:$B$36,0))</f>
        <v>CFLfixt-36w-ext(36w)</v>
      </c>
      <c r="G18" s="1" t="s">
        <v>191</v>
      </c>
    </row>
    <row r="19" spans="1:7" x14ac:dyDescent="0.3">
      <c r="A19" s="38" t="s">
        <v>67</v>
      </c>
      <c r="B19" s="1" t="s">
        <v>151</v>
      </c>
      <c r="C19" s="1">
        <v>50</v>
      </c>
      <c r="D19" s="1">
        <f t="shared" si="0"/>
        <v>142</v>
      </c>
      <c r="E19" s="1" t="s">
        <v>115</v>
      </c>
      <c r="F19" s="1" t="str">
        <f>INDEX('Cost Summary'!M$13:M$36,MATCH('Watts and Bins'!$A19,'Cost Summary'!$B$13:$B$36,0))</f>
        <v>CFLfixt-50w-ext(50w)</v>
      </c>
      <c r="G19" s="1" t="s">
        <v>191</v>
      </c>
    </row>
    <row r="20" spans="1:7" x14ac:dyDescent="0.3">
      <c r="A20" s="38" t="s">
        <v>69</v>
      </c>
      <c r="B20" s="1" t="s">
        <v>150</v>
      </c>
      <c r="C20" s="1">
        <v>50</v>
      </c>
      <c r="D20" s="1">
        <f t="shared" si="0"/>
        <v>142</v>
      </c>
      <c r="E20" s="1" t="s">
        <v>115</v>
      </c>
      <c r="F20" s="1" t="str">
        <f>INDEX('Cost Summary'!M$13:M$36,MATCH('Watts and Bins'!$A20,'Cost Summary'!$B$13:$B$36,0))</f>
        <v>CFLfixt-50w-ext(50w)</v>
      </c>
      <c r="G20" s="1" t="s">
        <v>191</v>
      </c>
    </row>
    <row r="21" spans="1:7" x14ac:dyDescent="0.3">
      <c r="A21" s="38" t="s">
        <v>61</v>
      </c>
      <c r="B21" s="1" t="s">
        <v>149</v>
      </c>
      <c r="C21" s="1">
        <v>55</v>
      </c>
      <c r="D21" s="1">
        <f t="shared" si="0"/>
        <v>156.19999999999999</v>
      </c>
      <c r="E21" s="1" t="s">
        <v>116</v>
      </c>
      <c r="F21" s="1" t="str">
        <f>INDEX('Cost Summary'!M$13:M$36,MATCH('Watts and Bins'!$A21,'Cost Summary'!$B$13:$B$36,0))</f>
        <v>CFLfixt-55w-ext(55w)</v>
      </c>
      <c r="G21" s="1" t="s">
        <v>191</v>
      </c>
    </row>
    <row r="22" spans="1:7" x14ac:dyDescent="0.3">
      <c r="A22" s="38" t="s">
        <v>62</v>
      </c>
      <c r="B22" s="1" t="s">
        <v>148</v>
      </c>
      <c r="C22" s="1">
        <v>55</v>
      </c>
      <c r="D22" s="1">
        <f t="shared" si="0"/>
        <v>156.19999999999999</v>
      </c>
      <c r="E22" s="1" t="s">
        <v>116</v>
      </c>
      <c r="F22" s="1" t="str">
        <f>INDEX('Cost Summary'!M$13:M$36,MATCH('Watts and Bins'!$A22,'Cost Summary'!$B$13:$B$36,0))</f>
        <v>CFLfixt-55w-ext(55w)</v>
      </c>
      <c r="G22" s="1" t="s">
        <v>191</v>
      </c>
    </row>
    <row r="23" spans="1:7" x14ac:dyDescent="0.3">
      <c r="A23" s="38" t="s">
        <v>78</v>
      </c>
      <c r="B23" s="1" t="s">
        <v>147</v>
      </c>
      <c r="C23" s="1">
        <v>65</v>
      </c>
      <c r="D23" s="1">
        <f t="shared" si="0"/>
        <v>184.6</v>
      </c>
      <c r="E23" s="1" t="s">
        <v>116</v>
      </c>
      <c r="F23" s="1" t="str">
        <f>INDEX('Cost Summary'!M$13:M$36,MATCH('Watts and Bins'!$A23,'Cost Summary'!$B$13:$B$36,0))</f>
        <v>CFLfixt-65w-ext(65w)</v>
      </c>
      <c r="G23" s="1" t="s">
        <v>191</v>
      </c>
    </row>
    <row r="24" spans="1:7" x14ac:dyDescent="0.3">
      <c r="A24" s="38" t="s">
        <v>81</v>
      </c>
      <c r="B24" s="1" t="s">
        <v>146</v>
      </c>
      <c r="C24" s="1">
        <v>65</v>
      </c>
      <c r="D24" s="1">
        <f t="shared" si="0"/>
        <v>184.6</v>
      </c>
      <c r="E24" s="1" t="s">
        <v>116</v>
      </c>
      <c r="F24" s="1" t="str">
        <f>INDEX('Cost Summary'!M$13:M$36,MATCH('Watts and Bins'!$A24,'Cost Summary'!$B$13:$B$36,0))</f>
        <v>CFLfixt-65w-ext(65w)</v>
      </c>
      <c r="G24" s="1" t="s">
        <v>191</v>
      </c>
    </row>
    <row r="25" spans="1:7" x14ac:dyDescent="0.3">
      <c r="A25" s="38" t="s">
        <v>57</v>
      </c>
      <c r="B25" s="1" t="s">
        <v>145</v>
      </c>
      <c r="C25" s="1">
        <v>70</v>
      </c>
      <c r="D25" s="1">
        <f>C25*3.57</f>
        <v>249.89999999999998</v>
      </c>
      <c r="E25" s="1" t="s">
        <v>116</v>
      </c>
      <c r="F25" s="1" t="str">
        <f>INDEX('Cost Summary'!M$13:M$36,MATCH('Watts and Bins'!$A25,'Cost Summary'!$B$13:$B$36,0))</f>
        <v>N/A</v>
      </c>
      <c r="G25" s="1" t="s">
        <v>190</v>
      </c>
    </row>
  </sheetData>
  <autoFilter ref="A1:E25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G64"/>
  <sheetViews>
    <sheetView zoomScale="70" zoomScaleNormal="70" workbookViewId="0">
      <selection activeCell="G61" sqref="G61"/>
    </sheetView>
  </sheetViews>
  <sheetFormatPr defaultRowHeight="14.4" x14ac:dyDescent="0.3"/>
  <cols>
    <col min="3" max="3" width="11.109375" bestFit="1" customWidth="1"/>
    <col min="6" max="6" width="10" bestFit="1" customWidth="1"/>
    <col min="7" max="7" width="245" bestFit="1" customWidth="1"/>
  </cols>
  <sheetData>
    <row r="2" spans="3:7" ht="15.75" thickBot="1" x14ac:dyDescent="0.3">
      <c r="F2" t="s">
        <v>123</v>
      </c>
    </row>
    <row r="3" spans="3:7" ht="15.75" thickBot="1" x14ac:dyDescent="0.3">
      <c r="C3" s="27" t="s">
        <v>84</v>
      </c>
      <c r="D3" s="28" t="s">
        <v>85</v>
      </c>
      <c r="E3" s="28" t="s">
        <v>109</v>
      </c>
      <c r="F3" s="28" t="s">
        <v>110</v>
      </c>
      <c r="G3" s="28" t="s">
        <v>3</v>
      </c>
    </row>
    <row r="4" spans="3:7" ht="15.75" thickBot="1" x14ac:dyDescent="0.3">
      <c r="C4" s="29">
        <v>100</v>
      </c>
      <c r="D4" s="31">
        <v>26.93</v>
      </c>
      <c r="E4" s="31">
        <v>22.5</v>
      </c>
      <c r="F4" s="31">
        <f>(E4+D4)*1.085</f>
        <v>53.631549999999997</v>
      </c>
      <c r="G4" s="30" t="s">
        <v>86</v>
      </c>
    </row>
    <row r="5" spans="3:7" ht="15.75" thickBot="1" x14ac:dyDescent="0.3">
      <c r="C5" s="29">
        <v>100</v>
      </c>
      <c r="D5" s="31">
        <v>22.04</v>
      </c>
      <c r="E5" s="31">
        <v>22.5</v>
      </c>
      <c r="F5" s="31">
        <f t="shared" ref="F5:F26" si="0">(E5+D5)*1.085</f>
        <v>48.325899999999997</v>
      </c>
      <c r="G5" s="30" t="s">
        <v>87</v>
      </c>
    </row>
    <row r="6" spans="3:7" ht="15.75" thickBot="1" x14ac:dyDescent="0.3">
      <c r="C6" s="29">
        <v>100</v>
      </c>
      <c r="D6" s="31">
        <v>31.49</v>
      </c>
      <c r="E6" s="31">
        <v>22.5</v>
      </c>
      <c r="F6" s="31">
        <f t="shared" ref="F6:F11" si="1">(E6+D6)*1.085+4.95</f>
        <v>63.529149999999994</v>
      </c>
      <c r="G6" s="30" t="s">
        <v>88</v>
      </c>
    </row>
    <row r="7" spans="3:7" ht="15.75" thickBot="1" x14ac:dyDescent="0.3">
      <c r="C7" s="29">
        <v>100</v>
      </c>
      <c r="D7" s="31">
        <v>57.99</v>
      </c>
      <c r="E7" s="31">
        <v>22.5</v>
      </c>
      <c r="F7" s="31">
        <f t="shared" si="1"/>
        <v>92.281650000000013</v>
      </c>
      <c r="G7" s="30" t="s">
        <v>89</v>
      </c>
    </row>
    <row r="8" spans="3:7" ht="15.75" thickBot="1" x14ac:dyDescent="0.3">
      <c r="C8" s="29">
        <v>60</v>
      </c>
      <c r="D8" s="31">
        <v>43.99</v>
      </c>
      <c r="E8" s="31">
        <v>22.5</v>
      </c>
      <c r="F8" s="31">
        <f t="shared" si="1"/>
        <v>77.091650000000016</v>
      </c>
      <c r="G8" s="30" t="s">
        <v>90</v>
      </c>
    </row>
    <row r="9" spans="3:7" ht="15.75" thickBot="1" x14ac:dyDescent="0.3">
      <c r="C9" s="29">
        <v>60</v>
      </c>
      <c r="D9" s="31">
        <v>44.99</v>
      </c>
      <c r="E9" s="31">
        <v>22.5</v>
      </c>
      <c r="F9" s="31">
        <f t="shared" si="1"/>
        <v>78.176650000000009</v>
      </c>
      <c r="G9" s="30" t="s">
        <v>91</v>
      </c>
    </row>
    <row r="10" spans="3:7" ht="15.75" thickBot="1" x14ac:dyDescent="0.3">
      <c r="C10" s="29">
        <v>65</v>
      </c>
      <c r="D10" s="31">
        <v>23.79</v>
      </c>
      <c r="E10" s="31">
        <v>22.5</v>
      </c>
      <c r="F10" s="31">
        <f t="shared" si="1"/>
        <v>55.17465</v>
      </c>
      <c r="G10" s="30" t="s">
        <v>92</v>
      </c>
    </row>
    <row r="11" spans="3:7" ht="15.75" thickBot="1" x14ac:dyDescent="0.3">
      <c r="C11" s="29">
        <v>75</v>
      </c>
      <c r="D11" s="31">
        <v>39.799999999999997</v>
      </c>
      <c r="E11" s="31">
        <v>22.5</v>
      </c>
      <c r="F11" s="31">
        <f t="shared" si="1"/>
        <v>72.545500000000004</v>
      </c>
      <c r="G11" s="30" t="s">
        <v>93</v>
      </c>
    </row>
    <row r="12" spans="3:7" ht="15.75" thickBot="1" x14ac:dyDescent="0.3">
      <c r="C12" s="29">
        <v>120</v>
      </c>
      <c r="D12" s="31">
        <v>27.4</v>
      </c>
      <c r="E12" s="31">
        <v>22.5</v>
      </c>
      <c r="F12" s="31">
        <f>(E12+D12)*1.085+10.48</f>
        <v>64.621499999999997</v>
      </c>
      <c r="G12" s="30" t="s">
        <v>94</v>
      </c>
    </row>
    <row r="13" spans="3:7" ht="15.75" thickBot="1" x14ac:dyDescent="0.3">
      <c r="C13" s="29">
        <v>75</v>
      </c>
      <c r="D13" s="31">
        <v>38.5</v>
      </c>
      <c r="E13" s="31">
        <v>22.5</v>
      </c>
      <c r="F13" s="31">
        <f>(E13+D13)*1.085+10.48</f>
        <v>76.665000000000006</v>
      </c>
      <c r="G13" s="30" t="s">
        <v>95</v>
      </c>
    </row>
    <row r="14" spans="3:7" ht="15.75" thickBot="1" x14ac:dyDescent="0.3">
      <c r="C14" s="29">
        <v>150</v>
      </c>
      <c r="D14" s="31">
        <v>49.9</v>
      </c>
      <c r="E14" s="31">
        <v>22.5</v>
      </c>
      <c r="F14" s="31">
        <f>(E14+D14)*1.085+10.48</f>
        <v>89.034000000000006</v>
      </c>
      <c r="G14" s="30" t="s">
        <v>95</v>
      </c>
    </row>
    <row r="15" spans="3:7" ht="15.75" thickBot="1" x14ac:dyDescent="0.3">
      <c r="C15" s="29">
        <v>60</v>
      </c>
      <c r="D15" s="31">
        <v>31.99</v>
      </c>
      <c r="E15" s="31">
        <v>22.5</v>
      </c>
      <c r="F15" s="31">
        <f>(E15+D15)*1.085</f>
        <v>59.121649999999995</v>
      </c>
      <c r="G15" s="30" t="s">
        <v>96</v>
      </c>
    </row>
    <row r="16" spans="3:7" ht="15.75" thickBot="1" x14ac:dyDescent="0.3">
      <c r="C16" s="29">
        <v>60</v>
      </c>
      <c r="D16" s="31">
        <v>22.97</v>
      </c>
      <c r="E16" s="31">
        <v>22.5</v>
      </c>
      <c r="F16" s="31">
        <f t="shared" si="0"/>
        <v>49.334949999999999</v>
      </c>
      <c r="G16" s="30" t="s">
        <v>97</v>
      </c>
    </row>
    <row r="17" spans="3:7" ht="15.75" thickBot="1" x14ac:dyDescent="0.3">
      <c r="C17" s="29">
        <v>60</v>
      </c>
      <c r="D17" s="31">
        <v>9.9700000000000006</v>
      </c>
      <c r="E17" s="31">
        <v>22.5</v>
      </c>
      <c r="F17" s="31">
        <f t="shared" si="0"/>
        <v>35.229949999999995</v>
      </c>
      <c r="G17" s="30" t="s">
        <v>98</v>
      </c>
    </row>
    <row r="18" spans="3:7" ht="15.75" thickBot="1" x14ac:dyDescent="0.3">
      <c r="C18" s="29">
        <v>60</v>
      </c>
      <c r="D18" s="31">
        <v>27.97</v>
      </c>
      <c r="E18" s="31">
        <v>22.5</v>
      </c>
      <c r="F18" s="31">
        <f t="shared" si="0"/>
        <v>54.759949999999996</v>
      </c>
      <c r="G18" s="30" t="s">
        <v>99</v>
      </c>
    </row>
    <row r="19" spans="3:7" ht="15.75" thickBot="1" x14ac:dyDescent="0.3">
      <c r="C19" s="29">
        <v>60</v>
      </c>
      <c r="D19" s="31">
        <v>12.51</v>
      </c>
      <c r="E19" s="31">
        <v>22.5</v>
      </c>
      <c r="F19" s="31">
        <f t="shared" ref="F19:F20" si="2">(E19+D19)*1.085</f>
        <v>37.985849999999999</v>
      </c>
      <c r="G19" s="30" t="s">
        <v>171</v>
      </c>
    </row>
    <row r="20" spans="3:7" ht="15.75" thickBot="1" x14ac:dyDescent="0.3">
      <c r="C20" s="29">
        <v>60</v>
      </c>
      <c r="D20" s="31">
        <v>31.95</v>
      </c>
      <c r="E20" s="31">
        <v>22.5</v>
      </c>
      <c r="F20" s="31">
        <f t="shared" si="2"/>
        <v>59.078250000000004</v>
      </c>
      <c r="G20" s="30" t="s">
        <v>174</v>
      </c>
    </row>
    <row r="21" spans="3:7" ht="15.75" thickBot="1" x14ac:dyDescent="0.3">
      <c r="C21" s="29">
        <v>100</v>
      </c>
      <c r="D21" s="31">
        <v>8.2799999999999994</v>
      </c>
      <c r="E21" s="31">
        <v>22.5</v>
      </c>
      <c r="F21" s="31">
        <f t="shared" si="0"/>
        <v>33.396300000000004</v>
      </c>
      <c r="G21" s="30" t="s">
        <v>100</v>
      </c>
    </row>
    <row r="22" spans="3:7" ht="15.75" thickBot="1" x14ac:dyDescent="0.3">
      <c r="C22" s="29">
        <v>60</v>
      </c>
      <c r="D22" s="31">
        <v>31.95</v>
      </c>
      <c r="E22" s="31">
        <v>22.5</v>
      </c>
      <c r="F22" s="31">
        <f t="shared" ref="F22:F23" si="3">(E22+D22)*1.085</f>
        <v>59.078250000000004</v>
      </c>
      <c r="G22" s="30" t="s">
        <v>173</v>
      </c>
    </row>
    <row r="23" spans="3:7" ht="15.75" thickBot="1" x14ac:dyDescent="0.3">
      <c r="C23" s="29">
        <v>60</v>
      </c>
      <c r="D23" s="31">
        <v>31.43</v>
      </c>
      <c r="E23" s="31">
        <v>22.5</v>
      </c>
      <c r="F23" s="31">
        <f t="shared" si="3"/>
        <v>58.514049999999997</v>
      </c>
      <c r="G23" s="30" t="s">
        <v>175</v>
      </c>
    </row>
    <row r="24" spans="3:7" ht="15.75" thickBot="1" x14ac:dyDescent="0.3">
      <c r="C24" s="29">
        <v>150</v>
      </c>
      <c r="D24" s="31">
        <v>29.97</v>
      </c>
      <c r="E24" s="31">
        <v>22.5</v>
      </c>
      <c r="F24" s="31">
        <f t="shared" si="0"/>
        <v>56.929949999999998</v>
      </c>
      <c r="G24" s="30" t="s">
        <v>35</v>
      </c>
    </row>
    <row r="25" spans="3:7" ht="15.75" thickBot="1" x14ac:dyDescent="0.3">
      <c r="C25" s="29">
        <v>150</v>
      </c>
      <c r="D25" s="31">
        <v>21.99</v>
      </c>
      <c r="E25" s="31">
        <v>22.5</v>
      </c>
      <c r="F25" s="31">
        <f t="shared" si="0"/>
        <v>48.271649999999994</v>
      </c>
      <c r="G25" s="30" t="s">
        <v>101</v>
      </c>
    </row>
    <row r="26" spans="3:7" ht="15.75" thickBot="1" x14ac:dyDescent="0.3">
      <c r="C26" s="29">
        <v>300</v>
      </c>
      <c r="D26" s="31">
        <v>45.69</v>
      </c>
      <c r="E26" s="31">
        <v>22.5</v>
      </c>
      <c r="F26" s="31">
        <f t="shared" si="0"/>
        <v>73.986149999999995</v>
      </c>
      <c r="G26" s="30" t="s">
        <v>102</v>
      </c>
    </row>
    <row r="27" spans="3:7" ht="15.75" thickBot="1" x14ac:dyDescent="0.3">
      <c r="C27" s="29">
        <v>60</v>
      </c>
      <c r="D27" s="31">
        <v>39.97</v>
      </c>
      <c r="E27" s="31">
        <v>22.5</v>
      </c>
      <c r="F27" s="31">
        <f>(E27+D27)*1.085+5.99</f>
        <v>73.769949999999994</v>
      </c>
      <c r="G27" s="30" t="s">
        <v>103</v>
      </c>
    </row>
    <row r="28" spans="3:7" ht="15.75" thickBot="1" x14ac:dyDescent="0.3">
      <c r="C28" s="29">
        <v>60</v>
      </c>
      <c r="D28" s="31">
        <v>19.98</v>
      </c>
      <c r="E28" s="31">
        <v>22.5</v>
      </c>
      <c r="F28" s="31">
        <f t="shared" ref="F28:F32" si="4">(E28+D28)*1.085+5.99</f>
        <v>52.080800000000004</v>
      </c>
      <c r="G28" s="30" t="s">
        <v>104</v>
      </c>
    </row>
    <row r="29" spans="3:7" ht="15.75" thickBot="1" x14ac:dyDescent="0.3">
      <c r="C29" s="29">
        <v>100</v>
      </c>
      <c r="D29" s="31">
        <v>12.98</v>
      </c>
      <c r="E29" s="31">
        <v>22.5</v>
      </c>
      <c r="F29" s="31">
        <f t="shared" si="4"/>
        <v>44.485800000000005</v>
      </c>
      <c r="G29" s="30" t="s">
        <v>105</v>
      </c>
    </row>
    <row r="30" spans="3:7" ht="15.75" thickBot="1" x14ac:dyDescent="0.3">
      <c r="C30" s="29">
        <v>60</v>
      </c>
      <c r="D30" s="31">
        <v>23</v>
      </c>
      <c r="E30" s="31">
        <v>22.5</v>
      </c>
      <c r="F30" s="31">
        <f t="shared" si="4"/>
        <v>55.357500000000002</v>
      </c>
      <c r="G30" s="30" t="s">
        <v>106</v>
      </c>
    </row>
    <row r="31" spans="3:7" ht="15.75" thickBot="1" x14ac:dyDescent="0.3">
      <c r="C31" s="29">
        <v>100</v>
      </c>
      <c r="D31" s="31">
        <v>43.7</v>
      </c>
      <c r="E31" s="31">
        <v>22.5</v>
      </c>
      <c r="F31" s="31">
        <f t="shared" si="4"/>
        <v>77.816999999999993</v>
      </c>
      <c r="G31" s="30" t="s">
        <v>107</v>
      </c>
    </row>
    <row r="32" spans="3:7" ht="15.75" thickBot="1" x14ac:dyDescent="0.3">
      <c r="C32" s="29">
        <v>75</v>
      </c>
      <c r="D32" s="31">
        <v>10.8</v>
      </c>
      <c r="E32" s="31">
        <v>22.5</v>
      </c>
      <c r="F32" s="31">
        <f t="shared" si="4"/>
        <v>42.1205</v>
      </c>
      <c r="G32" s="30" t="s">
        <v>108</v>
      </c>
    </row>
    <row r="33" spans="3:7" ht="15.75" thickBot="1" x14ac:dyDescent="0.3">
      <c r="C33" s="29">
        <v>75</v>
      </c>
      <c r="D33" s="31">
        <v>10.8</v>
      </c>
      <c r="E33" s="31">
        <v>22.5</v>
      </c>
      <c r="F33" s="31">
        <f t="shared" ref="F33:F41" si="5">(E33+D33)*1.085+5.99</f>
        <v>42.1205</v>
      </c>
      <c r="G33" s="30" t="s">
        <v>108</v>
      </c>
    </row>
    <row r="34" spans="3:7" ht="15.75" thickBot="1" x14ac:dyDescent="0.3">
      <c r="C34" s="29">
        <v>75</v>
      </c>
      <c r="D34" s="31">
        <v>10.8</v>
      </c>
      <c r="E34" s="31">
        <v>22.5</v>
      </c>
      <c r="F34" s="31">
        <f t="shared" si="5"/>
        <v>42.1205</v>
      </c>
      <c r="G34" s="30" t="s">
        <v>108</v>
      </c>
    </row>
    <row r="35" spans="3:7" ht="15.75" thickBot="1" x14ac:dyDescent="0.3">
      <c r="C35" s="29">
        <v>75</v>
      </c>
      <c r="D35" s="31">
        <v>10.8</v>
      </c>
      <c r="E35" s="31">
        <v>22.5</v>
      </c>
      <c r="F35" s="31">
        <f t="shared" si="5"/>
        <v>42.1205</v>
      </c>
      <c r="G35" s="30" t="s">
        <v>108</v>
      </c>
    </row>
    <row r="36" spans="3:7" ht="15.75" thickBot="1" x14ac:dyDescent="0.3">
      <c r="C36" s="29">
        <v>40</v>
      </c>
      <c r="D36" s="31">
        <f>18.9+$F$48</f>
        <v>19.614999999999998</v>
      </c>
      <c r="E36" s="31">
        <v>22.5</v>
      </c>
      <c r="F36" s="31">
        <f t="shared" si="5"/>
        <v>51.684774999999995</v>
      </c>
      <c r="G36" s="30" t="s">
        <v>215</v>
      </c>
    </row>
    <row r="37" spans="3:7" ht="15.75" thickBot="1" x14ac:dyDescent="0.3">
      <c r="C37" s="29">
        <v>40</v>
      </c>
      <c r="D37" s="31">
        <f>18+$F$48</f>
        <v>18.715</v>
      </c>
      <c r="E37" s="31">
        <v>22.5</v>
      </c>
      <c r="F37" s="31">
        <f t="shared" si="5"/>
        <v>50.708275000000008</v>
      </c>
      <c r="G37" s="30" t="s">
        <v>213</v>
      </c>
    </row>
    <row r="38" spans="3:7" ht="15.75" thickBot="1" x14ac:dyDescent="0.3">
      <c r="C38" s="29">
        <v>40</v>
      </c>
      <c r="D38" s="31">
        <f>24+$F$48</f>
        <v>24.715</v>
      </c>
      <c r="E38" s="31">
        <v>22.5</v>
      </c>
      <c r="F38" s="31">
        <f t="shared" si="5"/>
        <v>57.218275000000006</v>
      </c>
      <c r="G38" s="30" t="s">
        <v>214</v>
      </c>
    </row>
    <row r="39" spans="3:7" ht="15.75" thickBot="1" x14ac:dyDescent="0.3">
      <c r="C39" s="29">
        <v>200</v>
      </c>
      <c r="D39" s="31">
        <v>30.16</v>
      </c>
      <c r="E39" s="31">
        <v>22.5</v>
      </c>
      <c r="F39" s="31">
        <f t="shared" si="5"/>
        <v>63.126099999999994</v>
      </c>
      <c r="G39" s="30" t="s">
        <v>218</v>
      </c>
    </row>
    <row r="40" spans="3:7" ht="15.75" thickBot="1" x14ac:dyDescent="0.3">
      <c r="C40" s="29">
        <v>300</v>
      </c>
      <c r="D40" s="31">
        <v>27.94</v>
      </c>
      <c r="E40" s="31">
        <v>22.5</v>
      </c>
      <c r="F40" s="31">
        <f t="shared" si="5"/>
        <v>60.717399999999998</v>
      </c>
      <c r="G40" s="30" t="s">
        <v>219</v>
      </c>
    </row>
    <row r="41" spans="3:7" ht="15.75" thickBot="1" x14ac:dyDescent="0.3">
      <c r="C41" s="29">
        <v>300</v>
      </c>
      <c r="D41" s="31">
        <v>43.35</v>
      </c>
      <c r="E41" s="31">
        <v>22.5</v>
      </c>
      <c r="F41" s="31">
        <f t="shared" si="5"/>
        <v>77.437249999999992</v>
      </c>
      <c r="G41" s="30" t="s">
        <v>220</v>
      </c>
    </row>
    <row r="42" spans="3:7" ht="15" x14ac:dyDescent="0.25">
      <c r="C42" s="46"/>
      <c r="D42" s="47"/>
      <c r="E42" s="47"/>
      <c r="F42" s="47"/>
      <c r="G42" s="48"/>
    </row>
    <row r="44" spans="3:7" ht="15" x14ac:dyDescent="0.25">
      <c r="E44" t="s">
        <v>208</v>
      </c>
      <c r="F44" t="s">
        <v>2</v>
      </c>
      <c r="G44" t="s">
        <v>3</v>
      </c>
    </row>
    <row r="45" spans="3:7" ht="15" x14ac:dyDescent="0.25">
      <c r="E45" s="44">
        <v>40</v>
      </c>
      <c r="F45" s="43">
        <v>0.63</v>
      </c>
      <c r="G45" s="42" t="s">
        <v>210</v>
      </c>
    </row>
    <row r="46" spans="3:7" ht="15" x14ac:dyDescent="0.25">
      <c r="E46" s="44">
        <v>40</v>
      </c>
      <c r="F46" s="43">
        <f>1.04/2</f>
        <v>0.52</v>
      </c>
      <c r="G46" t="s">
        <v>211</v>
      </c>
    </row>
    <row r="47" spans="3:7" ht="15" x14ac:dyDescent="0.25">
      <c r="E47" s="44">
        <v>40</v>
      </c>
      <c r="F47" s="43">
        <f>1.99/2</f>
        <v>0.995</v>
      </c>
      <c r="G47" t="s">
        <v>212</v>
      </c>
    </row>
    <row r="48" spans="3:7" ht="15" x14ac:dyDescent="0.25">
      <c r="E48" t="s">
        <v>209</v>
      </c>
      <c r="F48" s="45">
        <f>AVERAGE(F45:F47)</f>
        <v>0.71499999999999997</v>
      </c>
      <c r="G48" t="s">
        <v>217</v>
      </c>
    </row>
    <row r="50" spans="3:4" ht="15" x14ac:dyDescent="0.25">
      <c r="C50" t="s">
        <v>84</v>
      </c>
      <c r="D50" t="s">
        <v>111</v>
      </c>
    </row>
    <row r="51" spans="3:4" ht="15" x14ac:dyDescent="0.25">
      <c r="C51" s="1">
        <v>40</v>
      </c>
      <c r="D51" s="26">
        <f>AVERAGEIF($C$4:$C$38,"="&amp;C51,$F$4:$F$38)</f>
        <v>53.203775000000007</v>
      </c>
    </row>
    <row r="52" spans="3:4" ht="15" x14ac:dyDescent="0.25">
      <c r="C52" s="1">
        <v>60</v>
      </c>
      <c r="D52" s="26">
        <f t="shared" ref="D52:D57" si="6">AVERAGEIF($C$4:$C$38,"="&amp;C52,$F$4:$F$38)</f>
        <v>57.659957692307685</v>
      </c>
    </row>
    <row r="53" spans="3:4" ht="15" x14ac:dyDescent="0.25">
      <c r="C53" s="1">
        <v>65</v>
      </c>
      <c r="D53" s="26">
        <f t="shared" si="6"/>
        <v>55.17465</v>
      </c>
    </row>
    <row r="54" spans="3:4" ht="15" x14ac:dyDescent="0.25">
      <c r="C54" s="1">
        <v>75</v>
      </c>
      <c r="D54" s="26">
        <f t="shared" si="6"/>
        <v>52.948749999999997</v>
      </c>
    </row>
    <row r="55" spans="3:4" ht="15" x14ac:dyDescent="0.25">
      <c r="C55" s="1">
        <v>100</v>
      </c>
      <c r="D55" s="26">
        <f t="shared" si="6"/>
        <v>59.066764285714278</v>
      </c>
    </row>
    <row r="56" spans="3:4" ht="15" x14ac:dyDescent="0.25">
      <c r="C56" s="1">
        <v>120</v>
      </c>
      <c r="D56" s="26">
        <f t="shared" si="6"/>
        <v>64.621499999999997</v>
      </c>
    </row>
    <row r="57" spans="3:4" ht="15" x14ac:dyDescent="0.25">
      <c r="C57" s="1">
        <v>150</v>
      </c>
      <c r="D57" s="26">
        <f t="shared" si="6"/>
        <v>64.745199999999997</v>
      </c>
    </row>
    <row r="58" spans="3:4" ht="15" x14ac:dyDescent="0.25">
      <c r="C58" s="1">
        <v>300</v>
      </c>
      <c r="D58" s="26">
        <f>AVERAGEIF($C$4:$C$41,"="&amp;C58,$F$4:$F$41)</f>
        <v>70.7136</v>
      </c>
    </row>
    <row r="60" spans="3:4" ht="15" x14ac:dyDescent="0.25">
      <c r="C60" s="32" t="s">
        <v>112</v>
      </c>
      <c r="D60" s="32" t="s">
        <v>2</v>
      </c>
    </row>
    <row r="61" spans="3:4" ht="15" x14ac:dyDescent="0.25">
      <c r="C61" s="33" t="s">
        <v>113</v>
      </c>
      <c r="D61" s="34">
        <f>AVERAGEIF($C$4:$C$41,"&lt;=60",$F$4:$F$41)</f>
        <v>56.824423437499988</v>
      </c>
    </row>
    <row r="62" spans="3:4" ht="15" x14ac:dyDescent="0.25">
      <c r="C62" s="33" t="s">
        <v>114</v>
      </c>
      <c r="D62" s="34">
        <f>AVERAGEIFS($F$4:$F$41,$C$4:$C$41,"&gt;60",$C$4:$C$41,"&lt;101")</f>
        <v>56.166749999999993</v>
      </c>
    </row>
    <row r="63" spans="3:4" ht="15" x14ac:dyDescent="0.25">
      <c r="C63" s="33" t="s">
        <v>115</v>
      </c>
      <c r="D63" s="34">
        <f>AVERAGEIFS($F$4:$F$41,$C$4:$C$41,"&gt;101",$C$4:$C$41,"&lt;151")</f>
        <v>64.714275000000001</v>
      </c>
    </row>
    <row r="64" spans="3:4" ht="15" x14ac:dyDescent="0.25">
      <c r="C64" s="33" t="s">
        <v>116</v>
      </c>
      <c r="D64" s="34">
        <f>AVERAGEIF($C$4:$C$41,"&gt;150",$F$4:$F$41)</f>
        <v>68.816724999999991</v>
      </c>
    </row>
  </sheetData>
  <autoFilter ref="C3:G38"/>
  <hyperlinks>
    <hyperlink ref="G4" r:id="rId1"/>
    <hyperlink ref="G5" r:id="rId2"/>
    <hyperlink ref="G6" r:id="rId3"/>
    <hyperlink ref="G7" r:id="rId4"/>
    <hyperlink ref="G8" r:id="rId5"/>
    <hyperlink ref="G9" r:id="rId6"/>
    <hyperlink ref="G10" r:id="rId7"/>
    <hyperlink ref="G11" r:id="rId8"/>
    <hyperlink ref="G12" r:id="rId9"/>
    <hyperlink ref="G13" r:id="rId10"/>
    <hyperlink ref="G14" r:id="rId11"/>
    <hyperlink ref="G15" r:id="rId12"/>
    <hyperlink ref="G16" r:id="rId13"/>
    <hyperlink ref="G17" r:id="rId14"/>
    <hyperlink ref="G18" r:id="rId15"/>
    <hyperlink ref="G21" r:id="rId16"/>
    <hyperlink ref="G24" r:id="rId17"/>
    <hyperlink ref="G25" r:id="rId18"/>
    <hyperlink ref="G26" r:id="rId19"/>
    <hyperlink ref="G27" r:id="rId20"/>
    <hyperlink ref="G28" r:id="rId21"/>
    <hyperlink ref="G29" r:id="rId22"/>
    <hyperlink ref="G30" r:id="rId23"/>
    <hyperlink ref="G31" r:id="rId24"/>
    <hyperlink ref="G32" r:id="rId25"/>
    <hyperlink ref="G33" r:id="rId26"/>
    <hyperlink ref="G34" r:id="rId27"/>
    <hyperlink ref="G35" r:id="rId28"/>
    <hyperlink ref="G39" r:id="rId29"/>
    <hyperlink ref="G40" r:id="rId30"/>
    <hyperlink ref="G41" r:id="rId31"/>
  </hyperlinks>
  <pageMargins left="0.7" right="0.7" top="0.75" bottom="0.75" header="0.3" footer="0.3"/>
  <pageSetup orientation="portrait" r:id="rId3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zoomScale="70" zoomScaleNormal="70" workbookViewId="0">
      <selection activeCell="A27" sqref="A27"/>
    </sheetView>
  </sheetViews>
  <sheetFormatPr defaultColWidth="0" defaultRowHeight="14.4" x14ac:dyDescent="0.3"/>
  <cols>
    <col min="1" max="1" width="52.33203125" bestFit="1" customWidth="1"/>
    <col min="2" max="2" width="27" bestFit="1" customWidth="1"/>
    <col min="3" max="3" width="13.109375" customWidth="1"/>
    <col min="4" max="4" width="92.6640625" customWidth="1"/>
    <col min="5" max="6" width="9.109375" hidden="1" customWidth="1"/>
    <col min="7" max="7" width="20.6640625" hidden="1" customWidth="1"/>
    <col min="8" max="8" width="0" hidden="1" customWidth="1"/>
    <col min="9" max="16384" width="9.109375" hidden="1"/>
  </cols>
  <sheetData>
    <row r="1" spans="1:4" ht="15" x14ac:dyDescent="0.25">
      <c r="A1" s="3" t="s">
        <v>5</v>
      </c>
      <c r="B1" s="7"/>
    </row>
    <row r="2" spans="1:4" ht="15" x14ac:dyDescent="0.25">
      <c r="A2" s="3" t="s">
        <v>8</v>
      </c>
      <c r="B2" s="7"/>
    </row>
    <row r="3" spans="1:4" ht="15" x14ac:dyDescent="0.25">
      <c r="A3" s="3" t="s">
        <v>10</v>
      </c>
      <c r="B3" s="7"/>
    </row>
    <row r="4" spans="1:4" ht="15" x14ac:dyDescent="0.25">
      <c r="A4" s="3" t="s">
        <v>9</v>
      </c>
      <c r="B4" s="7">
        <f>SUM(B1:B3)</f>
        <v>0</v>
      </c>
    </row>
    <row r="5" spans="1:4" ht="15.75" x14ac:dyDescent="0.25">
      <c r="A5" s="21" t="s">
        <v>16</v>
      </c>
      <c r="B5" s="22">
        <f>$B$4+'Labor Costs'!$B$2</f>
        <v>0</v>
      </c>
    </row>
    <row r="7" spans="1:4" ht="15" x14ac:dyDescent="0.25">
      <c r="A7" s="3" t="s">
        <v>182</v>
      </c>
      <c r="B7" s="3" t="s">
        <v>1</v>
      </c>
      <c r="C7" s="3" t="s">
        <v>2</v>
      </c>
      <c r="D7" s="3" t="s">
        <v>6</v>
      </c>
    </row>
    <row r="8" spans="1:4" ht="15" x14ac:dyDescent="0.25">
      <c r="A8" s="1" t="s">
        <v>32</v>
      </c>
      <c r="B8" s="1" t="s">
        <v>25</v>
      </c>
      <c r="C8" s="2">
        <f>32.98+8.99</f>
        <v>41.97</v>
      </c>
      <c r="D8" s="6" t="s">
        <v>24</v>
      </c>
    </row>
    <row r="9" spans="1:4" ht="15" x14ac:dyDescent="0.25">
      <c r="A9" s="1" t="s">
        <v>119</v>
      </c>
      <c r="B9" s="1" t="s">
        <v>118</v>
      </c>
      <c r="C9" s="2">
        <v>70.5</v>
      </c>
      <c r="D9" s="6" t="s">
        <v>117</v>
      </c>
    </row>
    <row r="10" spans="1:4" ht="15" x14ac:dyDescent="0.25">
      <c r="A10" s="1" t="s">
        <v>32</v>
      </c>
      <c r="B10" s="1" t="s">
        <v>83</v>
      </c>
      <c r="C10" s="2">
        <f>52.99+6.45</f>
        <v>59.440000000000005</v>
      </c>
      <c r="D10" s="6" t="s">
        <v>82</v>
      </c>
    </row>
    <row r="11" spans="1:4" ht="15" x14ac:dyDescent="0.25">
      <c r="C11" s="25">
        <f>AVERAGE(C8:C10)*1.0875</f>
        <v>62.317374999999998</v>
      </c>
      <c r="D11" s="5"/>
    </row>
    <row r="12" spans="1:4" ht="15" x14ac:dyDescent="0.25">
      <c r="A12" s="5"/>
      <c r="C12" s="5"/>
      <c r="D12" s="5"/>
    </row>
    <row r="13" spans="1:4" ht="15" x14ac:dyDescent="0.25">
      <c r="A13" s="5"/>
      <c r="C13" s="5"/>
      <c r="D13" s="5"/>
    </row>
    <row r="14" spans="1:4" ht="15" x14ac:dyDescent="0.25">
      <c r="A14" s="5"/>
      <c r="B14" s="5"/>
      <c r="C14" s="5"/>
    </row>
    <row r="15" spans="1:4" ht="15" x14ac:dyDescent="0.25">
      <c r="A15" s="5"/>
      <c r="B15" s="5"/>
      <c r="C15" s="5"/>
      <c r="D15" s="5"/>
    </row>
    <row r="16" spans="1:4" ht="15" x14ac:dyDescent="0.25">
      <c r="A16" s="5"/>
      <c r="B16" s="5"/>
      <c r="C16" s="5"/>
      <c r="D16" s="5"/>
    </row>
    <row r="17" spans="1:4" ht="15" x14ac:dyDescent="0.25">
      <c r="A17" s="5"/>
      <c r="B17" s="5"/>
      <c r="C17" s="5"/>
      <c r="D17" s="5"/>
    </row>
    <row r="18" spans="1:4" ht="108.75" customHeight="1" x14ac:dyDescent="0.25">
      <c r="A18" s="5"/>
      <c r="B18" s="5"/>
      <c r="C18" s="5"/>
      <c r="D18" s="5"/>
    </row>
    <row r="19" spans="1:4" ht="15" x14ac:dyDescent="0.25">
      <c r="A19" s="3" t="s">
        <v>188</v>
      </c>
      <c r="B19" s="3" t="s">
        <v>1</v>
      </c>
      <c r="C19" s="3" t="s">
        <v>2</v>
      </c>
      <c r="D19" s="3" t="s">
        <v>6</v>
      </c>
    </row>
    <row r="20" spans="1:4" ht="15" x14ac:dyDescent="0.25">
      <c r="A20" s="1" t="s">
        <v>45</v>
      </c>
      <c r="B20" s="1" t="s">
        <v>125</v>
      </c>
      <c r="C20" s="2">
        <f>98+22.5</f>
        <v>120.5</v>
      </c>
      <c r="D20" s="6" t="s">
        <v>124</v>
      </c>
    </row>
    <row r="21" spans="1:4" ht="15" x14ac:dyDescent="0.25">
      <c r="A21" s="1" t="s">
        <v>45</v>
      </c>
      <c r="B21" s="1" t="s">
        <v>44</v>
      </c>
      <c r="C21" s="2">
        <f>54.97+5.99</f>
        <v>60.96</v>
      </c>
      <c r="D21" s="6" t="s">
        <v>43</v>
      </c>
    </row>
    <row r="22" spans="1:4" ht="15" x14ac:dyDescent="0.25">
      <c r="A22" s="1" t="s">
        <v>45</v>
      </c>
      <c r="B22" s="1" t="s">
        <v>50</v>
      </c>
      <c r="C22" s="2">
        <v>49</v>
      </c>
      <c r="D22" s="6" t="s">
        <v>49</v>
      </c>
    </row>
    <row r="23" spans="1:4" ht="15" x14ac:dyDescent="0.25">
      <c r="B23" s="5"/>
      <c r="C23" s="25">
        <f>AVERAGE(C20:C22)*1.0875</f>
        <v>83.541750000000008</v>
      </c>
    </row>
    <row r="24" spans="1:4" ht="15" x14ac:dyDescent="0.25">
      <c r="A24" s="5"/>
      <c r="C24" s="5"/>
      <c r="D24" s="5"/>
    </row>
    <row r="25" spans="1:4" ht="15" x14ac:dyDescent="0.25">
      <c r="A25" s="5"/>
      <c r="B25" s="5"/>
      <c r="C25" s="5"/>
      <c r="D25" s="5"/>
    </row>
    <row r="26" spans="1:4" ht="15" x14ac:dyDescent="0.25">
      <c r="B26" s="5"/>
      <c r="C26" s="5"/>
      <c r="D26" s="5"/>
    </row>
    <row r="27" spans="1:4" ht="15" x14ac:dyDescent="0.25">
      <c r="A27" s="5"/>
      <c r="B27" s="5"/>
      <c r="C27" s="5"/>
      <c r="D27" s="5"/>
    </row>
    <row r="28" spans="1:4" ht="15" x14ac:dyDescent="0.25">
      <c r="A28" s="5"/>
      <c r="B28" s="5"/>
      <c r="C28" s="5"/>
      <c r="D28" s="5"/>
    </row>
    <row r="29" spans="1:4" ht="15" x14ac:dyDescent="0.25">
      <c r="A29" s="5"/>
      <c r="B29" s="5"/>
      <c r="C29" s="5"/>
      <c r="D29" s="5"/>
    </row>
    <row r="30" spans="1:4" ht="15" x14ac:dyDescent="0.25">
      <c r="A30" s="5"/>
      <c r="B30" s="5"/>
      <c r="C30" s="5"/>
      <c r="D30" s="5"/>
    </row>
    <row r="31" spans="1:4" ht="15" x14ac:dyDescent="0.25">
      <c r="A31" s="3" t="s">
        <v>184</v>
      </c>
      <c r="B31" s="3" t="s">
        <v>1</v>
      </c>
      <c r="C31" s="3" t="s">
        <v>2</v>
      </c>
      <c r="D31" s="3" t="s">
        <v>6</v>
      </c>
    </row>
    <row r="32" spans="1:4" ht="15" x14ac:dyDescent="0.25">
      <c r="A32" s="1" t="s">
        <v>31</v>
      </c>
      <c r="B32" s="24" t="s">
        <v>30</v>
      </c>
      <c r="C32" s="2">
        <f>39.98+5.99</f>
        <v>45.97</v>
      </c>
      <c r="D32" s="1" t="s">
        <v>29</v>
      </c>
    </row>
    <row r="33" spans="1:4" ht="15" x14ac:dyDescent="0.25">
      <c r="A33" s="1" t="s">
        <v>185</v>
      </c>
      <c r="B33" s="24" t="s">
        <v>186</v>
      </c>
      <c r="C33" s="2">
        <v>112.5</v>
      </c>
      <c r="D33" s="1" t="s">
        <v>187</v>
      </c>
    </row>
    <row r="34" spans="1:4" ht="15" x14ac:dyDescent="0.25">
      <c r="A34" s="1" t="s">
        <v>26</v>
      </c>
      <c r="B34" s="1" t="s">
        <v>27</v>
      </c>
      <c r="C34" s="2">
        <f>46.48+5.99</f>
        <v>52.47</v>
      </c>
      <c r="D34" s="1" t="s">
        <v>28</v>
      </c>
    </row>
    <row r="35" spans="1:4" ht="15" x14ac:dyDescent="0.25">
      <c r="C35" s="25">
        <f>AVERAGE(C32:C34)*1.0875</f>
        <v>76.46575</v>
      </c>
      <c r="D35" s="5"/>
    </row>
    <row r="36" spans="1:4" ht="15" x14ac:dyDescent="0.25">
      <c r="A36" s="5"/>
      <c r="C36" s="5"/>
      <c r="D36" s="5"/>
    </row>
    <row r="37" spans="1:4" ht="15" x14ac:dyDescent="0.25">
      <c r="A37" s="5"/>
      <c r="B37" s="5"/>
      <c r="C37" s="5"/>
      <c r="D37" s="5"/>
    </row>
    <row r="38" spans="1:4" ht="15" x14ac:dyDescent="0.25">
      <c r="A38" s="5"/>
      <c r="B38" s="5"/>
      <c r="C38" s="5"/>
      <c r="D38" s="5"/>
    </row>
    <row r="39" spans="1:4" ht="15" x14ac:dyDescent="0.25">
      <c r="A39" s="5"/>
      <c r="B39" s="5"/>
      <c r="C39" s="5"/>
      <c r="D39" s="5"/>
    </row>
    <row r="40" spans="1:4" ht="15" x14ac:dyDescent="0.25">
      <c r="A40" s="5"/>
      <c r="B40" s="5"/>
      <c r="C40" s="5"/>
      <c r="D40" s="5"/>
    </row>
    <row r="41" spans="1:4" ht="15" x14ac:dyDescent="0.25">
      <c r="A41" s="5"/>
      <c r="B41" s="5"/>
      <c r="C41" s="5"/>
      <c r="D41" s="5"/>
    </row>
    <row r="42" spans="1:4" ht="15" x14ac:dyDescent="0.25">
      <c r="A42" s="5"/>
      <c r="B42" s="5"/>
      <c r="C42" s="5"/>
      <c r="D42" s="5"/>
    </row>
    <row r="43" spans="1:4" ht="15" x14ac:dyDescent="0.25">
      <c r="A43" s="3" t="s">
        <v>183</v>
      </c>
      <c r="B43" s="3" t="s">
        <v>1</v>
      </c>
      <c r="C43" s="3" t="s">
        <v>2</v>
      </c>
      <c r="D43" s="3" t="s">
        <v>6</v>
      </c>
    </row>
    <row r="44" spans="1:4" ht="15" x14ac:dyDescent="0.25">
      <c r="A44" s="1" t="s">
        <v>122</v>
      </c>
      <c r="B44" s="1" t="s">
        <v>121</v>
      </c>
      <c r="C44" s="2">
        <f>337.51+22.5</f>
        <v>360.01</v>
      </c>
      <c r="D44" s="1" t="s">
        <v>120</v>
      </c>
    </row>
    <row r="45" spans="1:4" x14ac:dyDescent="0.3">
      <c r="A45" t="s">
        <v>46</v>
      </c>
      <c r="B45" s="1" t="s">
        <v>34</v>
      </c>
      <c r="C45">
        <v>73.540000000000006</v>
      </c>
      <c r="D45" s="1" t="s">
        <v>33</v>
      </c>
    </row>
    <row r="46" spans="1:4" x14ac:dyDescent="0.3">
      <c r="A46" s="1" t="s">
        <v>46</v>
      </c>
      <c r="B46" s="1" t="s">
        <v>48</v>
      </c>
      <c r="C46" s="2">
        <v>61.87</v>
      </c>
      <c r="D46" s="1" t="s">
        <v>47</v>
      </c>
    </row>
    <row r="47" spans="1:4" x14ac:dyDescent="0.3">
      <c r="B47" s="5"/>
      <c r="C47" s="25">
        <f>AVERAGE(C44:C46)*1.0875</f>
        <v>179.58975000000001</v>
      </c>
    </row>
    <row r="48" spans="1:4" x14ac:dyDescent="0.3">
      <c r="A48" s="5"/>
      <c r="C48" s="5"/>
      <c r="D48" s="5"/>
    </row>
    <row r="49" spans="1:4" x14ac:dyDescent="0.3">
      <c r="A49" s="5"/>
      <c r="B49" s="5"/>
      <c r="C49" s="5"/>
      <c r="D49" s="5"/>
    </row>
    <row r="50" spans="1:4" x14ac:dyDescent="0.3">
      <c r="A50" s="5"/>
      <c r="B50" s="5"/>
      <c r="C50" s="5"/>
      <c r="D50" s="5"/>
    </row>
    <row r="51" spans="1:4" x14ac:dyDescent="0.3">
      <c r="A51" s="5"/>
      <c r="B51" s="5"/>
      <c r="C51" s="5"/>
      <c r="D51" s="5"/>
    </row>
    <row r="52" spans="1:4" x14ac:dyDescent="0.3">
      <c r="A52" s="5"/>
      <c r="B52" s="5"/>
      <c r="C52" s="5"/>
      <c r="D52" s="5"/>
    </row>
    <row r="53" spans="1:4" x14ac:dyDescent="0.3">
      <c r="A53" s="5"/>
      <c r="B53" s="5"/>
      <c r="C53" s="5"/>
      <c r="D53" s="5"/>
    </row>
    <row r="54" spans="1:4" x14ac:dyDescent="0.3">
      <c r="A54" s="5"/>
      <c r="B54" s="5"/>
      <c r="C54" s="5"/>
      <c r="D54" s="5"/>
    </row>
    <row r="55" spans="1:4" x14ac:dyDescent="0.3">
      <c r="A55" s="3" t="s">
        <v>0</v>
      </c>
      <c r="B55" s="3" t="s">
        <v>1</v>
      </c>
      <c r="C55" s="3" t="s">
        <v>2</v>
      </c>
      <c r="D55" s="3" t="s">
        <v>6</v>
      </c>
    </row>
    <row r="56" spans="1:4" x14ac:dyDescent="0.3">
      <c r="A56" s="1"/>
      <c r="B56" s="1"/>
      <c r="C56" s="2"/>
      <c r="D56" s="1"/>
    </row>
    <row r="57" spans="1:4" x14ac:dyDescent="0.3">
      <c r="B57" s="5"/>
      <c r="C57" s="25"/>
      <c r="D57" s="5"/>
    </row>
    <row r="58" spans="1:4" x14ac:dyDescent="0.3">
      <c r="A58" s="5"/>
      <c r="B58" s="5"/>
      <c r="C58" s="5"/>
      <c r="D58" s="5"/>
    </row>
    <row r="59" spans="1:4" x14ac:dyDescent="0.3">
      <c r="A59" s="5"/>
      <c r="B59" s="5"/>
      <c r="C59" s="5"/>
      <c r="D59" s="5"/>
    </row>
    <row r="60" spans="1:4" x14ac:dyDescent="0.3">
      <c r="A60" s="5"/>
      <c r="B60" s="5"/>
      <c r="C60" s="5"/>
      <c r="D60" s="5"/>
    </row>
    <row r="61" spans="1:4" x14ac:dyDescent="0.3">
      <c r="A61" s="5"/>
      <c r="B61" s="5"/>
      <c r="C61" s="5"/>
      <c r="D61" s="5"/>
    </row>
    <row r="62" spans="1:4" x14ac:dyDescent="0.3">
      <c r="A62" s="5"/>
      <c r="B62" s="5"/>
      <c r="C62" s="5"/>
      <c r="D62" s="5"/>
    </row>
    <row r="63" spans="1:4" x14ac:dyDescent="0.3">
      <c r="A63" s="5"/>
      <c r="B63" s="5"/>
      <c r="C63" s="5"/>
      <c r="D63" s="5"/>
    </row>
    <row r="64" spans="1:4" x14ac:dyDescent="0.3">
      <c r="A64" s="5"/>
      <c r="B64" s="5"/>
      <c r="C64" s="5"/>
      <c r="D64" s="5"/>
    </row>
    <row r="65" spans="1:4" x14ac:dyDescent="0.3">
      <c r="A65" s="3" t="s">
        <v>0</v>
      </c>
      <c r="B65" s="3" t="s">
        <v>1</v>
      </c>
      <c r="C65" s="3" t="s">
        <v>2</v>
      </c>
      <c r="D65" s="3" t="s">
        <v>6</v>
      </c>
    </row>
    <row r="66" spans="1:4" x14ac:dyDescent="0.3">
      <c r="A66" s="1"/>
      <c r="B66" s="1"/>
      <c r="C66" s="2"/>
      <c r="D66" s="1"/>
    </row>
    <row r="67" spans="1:4" x14ac:dyDescent="0.3">
      <c r="A67" s="4" t="s">
        <v>4</v>
      </c>
      <c r="B67" s="5"/>
      <c r="C67" s="5"/>
      <c r="D67" s="5"/>
    </row>
    <row r="68" spans="1:4" x14ac:dyDescent="0.3">
      <c r="A68" s="5"/>
      <c r="B68" s="5"/>
      <c r="C68" s="5"/>
      <c r="D68" s="5"/>
    </row>
    <row r="69" spans="1:4" x14ac:dyDescent="0.3">
      <c r="A69" s="5"/>
      <c r="B69" s="5"/>
      <c r="C69" s="5"/>
      <c r="D69" s="5"/>
    </row>
    <row r="70" spans="1:4" x14ac:dyDescent="0.3">
      <c r="A70" s="5"/>
      <c r="B70" s="5"/>
      <c r="C70" s="5"/>
      <c r="D70" s="5"/>
    </row>
    <row r="71" spans="1:4" x14ac:dyDescent="0.3">
      <c r="A71" s="5"/>
      <c r="B71" s="5"/>
      <c r="C71" s="5"/>
      <c r="D71" s="5"/>
    </row>
    <row r="72" spans="1:4" x14ac:dyDescent="0.3">
      <c r="A72" s="5"/>
      <c r="B72" s="5"/>
      <c r="C72" s="5"/>
      <c r="D72" s="5"/>
    </row>
    <row r="73" spans="1:4" x14ac:dyDescent="0.3">
      <c r="A73" s="5"/>
      <c r="B73" s="5"/>
      <c r="C73" s="5"/>
      <c r="D73" s="5"/>
    </row>
    <row r="74" spans="1:4" x14ac:dyDescent="0.3">
      <c r="A74" s="5"/>
      <c r="B74" s="5"/>
      <c r="C74" s="5"/>
      <c r="D74" s="5"/>
    </row>
    <row r="75" spans="1:4" x14ac:dyDescent="0.3">
      <c r="A75" s="3" t="s">
        <v>0</v>
      </c>
      <c r="B75" s="3" t="s">
        <v>1</v>
      </c>
      <c r="C75" s="3" t="s">
        <v>2</v>
      </c>
      <c r="D75" s="3" t="s">
        <v>6</v>
      </c>
    </row>
    <row r="76" spans="1:4" x14ac:dyDescent="0.3">
      <c r="A76" s="1"/>
      <c r="B76" s="1"/>
      <c r="C76" s="2"/>
      <c r="D76" s="1"/>
    </row>
    <row r="77" spans="1:4" x14ac:dyDescent="0.3">
      <c r="A77" s="4" t="s">
        <v>4</v>
      </c>
      <c r="B77" s="5"/>
      <c r="C77" s="5"/>
      <c r="D77" s="5"/>
    </row>
    <row r="78" spans="1:4" x14ac:dyDescent="0.3">
      <c r="A78" s="5"/>
      <c r="B78" s="5"/>
      <c r="C78" s="5"/>
      <c r="D78" s="5"/>
    </row>
    <row r="79" spans="1:4" x14ac:dyDescent="0.3">
      <c r="A79" s="5"/>
      <c r="B79" s="5"/>
      <c r="C79" s="5"/>
      <c r="D79" s="5"/>
    </row>
    <row r="80" spans="1:4" x14ac:dyDescent="0.3">
      <c r="A80" s="5"/>
      <c r="B80" s="5"/>
      <c r="C80" s="5"/>
      <c r="D80" s="5"/>
    </row>
    <row r="81" spans="1:4" x14ac:dyDescent="0.3">
      <c r="A81" s="5"/>
      <c r="B81" s="5"/>
      <c r="C81" s="5"/>
      <c r="D81" s="5"/>
    </row>
    <row r="82" spans="1:4" x14ac:dyDescent="0.3">
      <c r="A82" s="5"/>
      <c r="B82" s="5"/>
      <c r="C82" s="5"/>
      <c r="D82" s="5"/>
    </row>
    <row r="83" spans="1:4" x14ac:dyDescent="0.3">
      <c r="A83" s="5"/>
      <c r="B83" s="5"/>
      <c r="C83" s="5"/>
      <c r="D83" s="5"/>
    </row>
    <row r="84" spans="1:4" x14ac:dyDescent="0.3">
      <c r="A84" s="5"/>
      <c r="B84" s="5"/>
      <c r="C84" s="5"/>
      <c r="D84" s="5"/>
    </row>
    <row r="85" spans="1:4" x14ac:dyDescent="0.3">
      <c r="A85" s="3" t="s">
        <v>0</v>
      </c>
      <c r="B85" s="3" t="s">
        <v>1</v>
      </c>
      <c r="C85" s="3" t="s">
        <v>2</v>
      </c>
      <c r="D85" s="3" t="s">
        <v>6</v>
      </c>
    </row>
    <row r="86" spans="1:4" x14ac:dyDescent="0.3">
      <c r="A86" s="1"/>
      <c r="B86" s="1"/>
      <c r="C86" s="2"/>
      <c r="D86" s="1"/>
    </row>
    <row r="87" spans="1:4" x14ac:dyDescent="0.3">
      <c r="A87" s="4" t="s">
        <v>4</v>
      </c>
      <c r="B87" s="5"/>
      <c r="C87" s="5"/>
      <c r="D87" s="5"/>
    </row>
    <row r="88" spans="1:4" x14ac:dyDescent="0.3">
      <c r="A88" s="5"/>
      <c r="B88" s="5"/>
      <c r="C88" s="5"/>
      <c r="D88" s="5"/>
    </row>
    <row r="89" spans="1:4" x14ac:dyDescent="0.3">
      <c r="A89" s="5"/>
      <c r="B89" s="5"/>
      <c r="C89" s="5"/>
      <c r="D89" s="5"/>
    </row>
    <row r="90" spans="1:4" x14ac:dyDescent="0.3">
      <c r="A90" s="5"/>
      <c r="B90" s="5"/>
      <c r="C90" s="5"/>
      <c r="D90" s="5"/>
    </row>
    <row r="91" spans="1:4" x14ac:dyDescent="0.3">
      <c r="A91" s="5"/>
      <c r="B91" s="5"/>
      <c r="C91" s="5"/>
      <c r="D91" s="5"/>
    </row>
    <row r="92" spans="1:4" x14ac:dyDescent="0.3">
      <c r="A92" s="5"/>
      <c r="B92" s="5"/>
      <c r="C92" s="5"/>
      <c r="D92" s="5"/>
    </row>
    <row r="93" spans="1:4" x14ac:dyDescent="0.3">
      <c r="A93" s="5"/>
      <c r="B93" s="5"/>
      <c r="C93" s="5"/>
      <c r="D93" s="5"/>
    </row>
    <row r="94" spans="1:4" x14ac:dyDescent="0.3">
      <c r="A94" s="5"/>
      <c r="B94" s="5"/>
      <c r="C94" s="5"/>
      <c r="D94" s="5"/>
    </row>
  </sheetData>
  <hyperlinks>
    <hyperlink ref="D8" r:id="rId1"/>
  </hyperlinks>
  <pageMargins left="0.7" right="0.7" top="0.75" bottom="0.75" header="0.3" footer="0.3"/>
  <pageSetup scale="50" orientation="portrait" r:id="rId2"/>
  <headerFooter>
    <oddHeader>&amp;C&amp;F</oddHead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41"/>
  <sheetViews>
    <sheetView topLeftCell="A22" workbookViewId="0">
      <selection activeCell="F26" sqref="F26"/>
    </sheetView>
  </sheetViews>
  <sheetFormatPr defaultRowHeight="14.4" x14ac:dyDescent="0.3"/>
  <cols>
    <col min="1" max="1" width="13" customWidth="1"/>
    <col min="2" max="2" width="26" customWidth="1"/>
    <col min="3" max="3" width="24.33203125" bestFit="1" customWidth="1"/>
    <col min="4" max="4" width="13.33203125" customWidth="1"/>
    <col min="5" max="5" width="8.6640625" customWidth="1"/>
    <col min="6" max="6" width="77.33203125" customWidth="1"/>
  </cols>
  <sheetData>
    <row r="3" spans="1:6" x14ac:dyDescent="0.25">
      <c r="A3" s="3" t="s">
        <v>19</v>
      </c>
      <c r="B3" s="3" t="s">
        <v>20</v>
      </c>
      <c r="C3" s="3" t="s">
        <v>21</v>
      </c>
      <c r="D3" s="3" t="s">
        <v>22</v>
      </c>
      <c r="E3" s="3" t="s">
        <v>2</v>
      </c>
      <c r="F3" s="3" t="s">
        <v>23</v>
      </c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1"/>
      <c r="B5" s="1"/>
      <c r="C5" s="1"/>
      <c r="D5" s="1"/>
      <c r="E5" s="1"/>
      <c r="F5" s="1"/>
    </row>
    <row r="6" spans="1:6" x14ac:dyDescent="0.25">
      <c r="A6" s="1"/>
      <c r="B6" s="1"/>
      <c r="C6" s="1"/>
      <c r="D6" s="1"/>
      <c r="E6" s="1"/>
      <c r="F6" s="1"/>
    </row>
    <row r="7" spans="1:6" x14ac:dyDescent="0.25">
      <c r="A7" s="1"/>
      <c r="B7" s="1"/>
      <c r="C7" s="1"/>
      <c r="D7" s="1"/>
      <c r="E7" s="1"/>
      <c r="F7" s="1"/>
    </row>
    <row r="8" spans="1:6" x14ac:dyDescent="0.25">
      <c r="A8" s="1"/>
      <c r="B8" s="1"/>
      <c r="C8" s="1"/>
      <c r="D8" s="1"/>
      <c r="E8" s="1"/>
      <c r="F8" s="1"/>
    </row>
    <row r="9" spans="1:6" x14ac:dyDescent="0.25">
      <c r="A9" s="1"/>
      <c r="B9" s="1"/>
      <c r="C9" s="1"/>
      <c r="D9" s="1"/>
      <c r="E9" s="1"/>
      <c r="F9" s="1"/>
    </row>
    <row r="10" spans="1:6" x14ac:dyDescent="0.25">
      <c r="A10" s="1"/>
      <c r="B10" s="1"/>
      <c r="C10" s="1"/>
      <c r="D10" s="1"/>
      <c r="E10" s="1"/>
      <c r="F10" s="1"/>
    </row>
    <row r="11" spans="1:6" x14ac:dyDescent="0.25">
      <c r="A11" s="1"/>
      <c r="B11" s="1"/>
      <c r="C11" s="1"/>
      <c r="D11" s="1"/>
      <c r="E11" s="1"/>
      <c r="F11" s="1"/>
    </row>
    <row r="12" spans="1:6" x14ac:dyDescent="0.25">
      <c r="A12" s="1"/>
      <c r="B12" s="1"/>
      <c r="C12" s="1"/>
      <c r="D12" s="1"/>
      <c r="E12" s="1"/>
      <c r="F12" s="1"/>
    </row>
    <row r="13" spans="1:6" x14ac:dyDescent="0.25">
      <c r="A13" s="1"/>
      <c r="B13" s="1"/>
      <c r="C13" s="1"/>
      <c r="D13" s="1"/>
      <c r="E13" s="1"/>
      <c r="F13" s="1"/>
    </row>
    <row r="14" spans="1:6" x14ac:dyDescent="0.25">
      <c r="A14" s="1"/>
      <c r="B14" s="1"/>
      <c r="C14" s="1"/>
      <c r="D14" s="1"/>
      <c r="E14" s="1"/>
      <c r="F14" s="1"/>
    </row>
    <row r="15" spans="1:6" x14ac:dyDescent="0.25">
      <c r="A15" s="1"/>
      <c r="B15" s="1"/>
      <c r="C15" s="1"/>
      <c r="D15" s="1"/>
      <c r="E15" s="1"/>
      <c r="F15" s="1"/>
    </row>
    <row r="16" spans="1:6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  <row r="21" spans="1:6" x14ac:dyDescent="0.25">
      <c r="A21" s="1"/>
      <c r="B21" s="1"/>
      <c r="C21" s="1"/>
      <c r="D21" s="1"/>
      <c r="E21" s="1"/>
      <c r="F21" s="1"/>
    </row>
    <row r="22" spans="1:6" x14ac:dyDescent="0.25">
      <c r="A22" s="1"/>
      <c r="B22" s="1"/>
      <c r="C22" s="1"/>
      <c r="D22" s="1"/>
      <c r="E22" s="1"/>
      <c r="F22" s="1"/>
    </row>
    <row r="23" spans="1:6" x14ac:dyDescent="0.25">
      <c r="A23" s="1"/>
      <c r="B23" s="1"/>
      <c r="C23" s="1"/>
      <c r="D23" s="1"/>
      <c r="E23" s="1"/>
      <c r="F23" s="1"/>
    </row>
    <row r="24" spans="1:6" x14ac:dyDescent="0.25">
      <c r="A24" s="1"/>
      <c r="B24" s="1"/>
      <c r="C24" s="1"/>
      <c r="D24" s="1"/>
      <c r="E24" s="1"/>
      <c r="F24" s="1"/>
    </row>
    <row r="25" spans="1:6" x14ac:dyDescent="0.25">
      <c r="A25" s="1"/>
      <c r="B25" s="1"/>
      <c r="C25" s="1"/>
      <c r="D25" s="1"/>
      <c r="E25" s="1"/>
      <c r="F25" s="1"/>
    </row>
    <row r="26" spans="1:6" x14ac:dyDescent="0.25">
      <c r="A26" s="1"/>
      <c r="B26" s="1"/>
      <c r="C26" s="1"/>
      <c r="D26" s="1"/>
      <c r="E26" s="1"/>
      <c r="F26" s="1"/>
    </row>
    <row r="27" spans="1:6" x14ac:dyDescent="0.25">
      <c r="A27" s="1"/>
      <c r="B27" s="1"/>
      <c r="C27" s="1"/>
      <c r="D27" s="1"/>
      <c r="E27" s="1"/>
      <c r="F27" s="1"/>
    </row>
    <row r="28" spans="1:6" x14ac:dyDescent="0.25">
      <c r="A28" s="1"/>
      <c r="B28" s="1"/>
      <c r="C28" s="1"/>
      <c r="D28" s="1"/>
      <c r="E28" s="1"/>
      <c r="F28" s="1"/>
    </row>
    <row r="29" spans="1:6" x14ac:dyDescent="0.25">
      <c r="A29" s="1"/>
      <c r="B29" s="1"/>
      <c r="C29" s="1"/>
      <c r="D29" s="1"/>
      <c r="E29" s="1"/>
      <c r="F29" s="1"/>
    </row>
    <row r="30" spans="1:6" x14ac:dyDescent="0.25">
      <c r="A30" s="1"/>
      <c r="B30" s="1"/>
      <c r="C30" s="1"/>
      <c r="D30" s="1"/>
      <c r="E30" s="1"/>
      <c r="F30" s="1"/>
    </row>
    <row r="31" spans="1:6" x14ac:dyDescent="0.25">
      <c r="A31" s="1"/>
      <c r="B31" s="1"/>
      <c r="C31" s="1"/>
      <c r="D31" s="1"/>
      <c r="E31" s="1"/>
      <c r="F31" s="1"/>
    </row>
    <row r="32" spans="1:6" x14ac:dyDescent="0.25">
      <c r="A32" s="1"/>
      <c r="B32" s="1"/>
      <c r="C32" s="1"/>
      <c r="D32" s="1"/>
      <c r="E32" s="1"/>
      <c r="F32" s="1"/>
    </row>
    <row r="33" spans="1:6" x14ac:dyDescent="0.25">
      <c r="A33" s="1"/>
      <c r="B33" s="1"/>
      <c r="C33" s="1"/>
      <c r="D33" s="1"/>
      <c r="E33" s="1"/>
      <c r="F33" s="1"/>
    </row>
    <row r="34" spans="1:6" x14ac:dyDescent="0.25">
      <c r="A34" s="1"/>
      <c r="B34" s="1"/>
      <c r="C34" s="1"/>
      <c r="D34" s="1"/>
      <c r="E34" s="1"/>
      <c r="F34" s="1"/>
    </row>
    <row r="35" spans="1:6" x14ac:dyDescent="0.25">
      <c r="A35" s="1"/>
      <c r="B35" s="1"/>
      <c r="C35" s="1"/>
      <c r="D35" s="1"/>
      <c r="E35" s="1"/>
      <c r="F35" s="1"/>
    </row>
    <row r="36" spans="1:6" x14ac:dyDescent="0.25">
      <c r="A36" s="1"/>
      <c r="B36" s="1"/>
      <c r="C36" s="1"/>
      <c r="D36" s="1"/>
      <c r="E36" s="1"/>
      <c r="F36" s="1"/>
    </row>
    <row r="37" spans="1:6" x14ac:dyDescent="0.25">
      <c r="A37" s="1"/>
      <c r="B37" s="1"/>
      <c r="C37" s="1"/>
      <c r="D37" s="1"/>
      <c r="E37" s="1"/>
      <c r="F37" s="1"/>
    </row>
    <row r="38" spans="1:6" x14ac:dyDescent="0.25">
      <c r="A38" s="1"/>
      <c r="B38" s="1"/>
      <c r="C38" s="1"/>
      <c r="D38" s="1"/>
      <c r="E38" s="1"/>
      <c r="F38" s="1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  <row r="41" spans="1:6" x14ac:dyDescent="0.25">
      <c r="A41" s="1"/>
      <c r="B41" s="1"/>
      <c r="C41" s="1"/>
      <c r="D41" s="1"/>
      <c r="E41" s="1"/>
      <c r="F41" s="1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zoomScale="70" zoomScaleNormal="70" workbookViewId="0">
      <selection activeCell="B2" sqref="B2"/>
    </sheetView>
  </sheetViews>
  <sheetFormatPr defaultColWidth="0" defaultRowHeight="14.4" x14ac:dyDescent="0.3"/>
  <cols>
    <col min="1" max="1" width="41" customWidth="1"/>
    <col min="2" max="2" width="32" customWidth="1"/>
    <col min="3" max="3" width="22.44140625" customWidth="1"/>
    <col min="4" max="4" width="9.109375" customWidth="1"/>
    <col min="5" max="16384" width="9.109375" hidden="1"/>
  </cols>
  <sheetData>
    <row r="2" spans="1:4" x14ac:dyDescent="0.25">
      <c r="A2" s="3" t="s">
        <v>12</v>
      </c>
      <c r="B2" s="2">
        <f>B3*C6</f>
        <v>0</v>
      </c>
    </row>
    <row r="3" spans="1:4" x14ac:dyDescent="0.25">
      <c r="A3" s="3" t="s">
        <v>17</v>
      </c>
      <c r="B3" s="8">
        <v>1</v>
      </c>
    </row>
    <row r="4" spans="1:4" x14ac:dyDescent="0.25">
      <c r="A4" s="23" t="s">
        <v>18</v>
      </c>
    </row>
    <row r="5" spans="1:4" x14ac:dyDescent="0.25">
      <c r="A5" s="3" t="s">
        <v>11</v>
      </c>
      <c r="B5" s="3" t="s">
        <v>3</v>
      </c>
      <c r="C5" s="3" t="s">
        <v>2</v>
      </c>
      <c r="D5" s="1"/>
    </row>
    <row r="6" spans="1:4" x14ac:dyDescent="0.25">
      <c r="A6" s="9" t="s">
        <v>13</v>
      </c>
      <c r="B6" s="9" t="s">
        <v>14</v>
      </c>
      <c r="C6" s="10"/>
      <c r="D6" s="1"/>
    </row>
    <row r="7" spans="1:4" x14ac:dyDescent="0.25">
      <c r="A7" s="11"/>
      <c r="B7" s="12"/>
      <c r="C7" s="12"/>
      <c r="D7" s="13"/>
    </row>
    <row r="8" spans="1:4" x14ac:dyDescent="0.25">
      <c r="A8" s="14" t="s">
        <v>15</v>
      </c>
      <c r="B8" s="15"/>
      <c r="C8" s="15"/>
      <c r="D8" s="16"/>
    </row>
    <row r="9" spans="1:4" x14ac:dyDescent="0.25">
      <c r="A9" s="17"/>
      <c r="B9" s="15"/>
      <c r="C9" s="15"/>
      <c r="D9" s="16"/>
    </row>
    <row r="10" spans="1:4" x14ac:dyDescent="0.25">
      <c r="A10" s="17"/>
      <c r="B10" s="15"/>
      <c r="C10" s="15"/>
      <c r="D10" s="16"/>
    </row>
    <row r="11" spans="1:4" x14ac:dyDescent="0.25">
      <c r="A11" s="17"/>
      <c r="B11" s="15"/>
      <c r="C11" s="15"/>
      <c r="D11" s="16"/>
    </row>
    <row r="12" spans="1:4" x14ac:dyDescent="0.25">
      <c r="A12" s="17"/>
      <c r="B12" s="15"/>
      <c r="C12" s="15"/>
      <c r="D12" s="16"/>
    </row>
    <row r="13" spans="1:4" x14ac:dyDescent="0.25">
      <c r="A13" s="17"/>
      <c r="B13" s="15"/>
      <c r="C13" s="15"/>
      <c r="D13" s="16"/>
    </row>
    <row r="14" spans="1:4" x14ac:dyDescent="0.25">
      <c r="A14" s="17"/>
      <c r="B14" s="15"/>
      <c r="C14" s="15"/>
      <c r="D14" s="16"/>
    </row>
    <row r="15" spans="1:4" x14ac:dyDescent="0.25">
      <c r="A15" s="17"/>
      <c r="B15" s="15"/>
      <c r="C15" s="15"/>
      <c r="D15" s="16"/>
    </row>
    <row r="16" spans="1:4" x14ac:dyDescent="0.25">
      <c r="A16" s="17"/>
      <c r="B16" s="15"/>
      <c r="C16" s="15"/>
      <c r="D16" s="16"/>
    </row>
    <row r="17" spans="1:4" x14ac:dyDescent="0.25">
      <c r="A17" s="17"/>
      <c r="B17" s="15"/>
      <c r="C17" s="15"/>
      <c r="D17" s="16"/>
    </row>
    <row r="18" spans="1:4" x14ac:dyDescent="0.25">
      <c r="A18" s="18"/>
      <c r="B18" s="19"/>
      <c r="C18" s="19"/>
      <c r="D18" s="20"/>
    </row>
  </sheetData>
  <pageMargins left="0.7" right="0.7" top="0.75" bottom="0.75" header="0.3" footer="0.3"/>
  <pageSetup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Base Material Cost (old)</vt:lpstr>
      <vt:lpstr>Cost Summary</vt:lpstr>
      <vt:lpstr>Watts and Bins</vt:lpstr>
      <vt:lpstr>Base Inc Cost Findings</vt:lpstr>
      <vt:lpstr>Measure Material Cost</vt:lpstr>
      <vt:lpstr>Material Cost (many links)</vt:lpstr>
      <vt:lpstr>Labor Costs</vt:lpstr>
      <vt:lpstr>'Base Material Cost (old)'!Print_Area</vt:lpstr>
      <vt:lpstr>'Measure Material Cost'!Print_Area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Casco, Lake</dc:creator>
  <cp:lastModifiedBy>Ajay Wadhera</cp:lastModifiedBy>
  <cp:lastPrinted>2016-10-18T19:47:16Z</cp:lastPrinted>
  <dcterms:created xsi:type="dcterms:W3CDTF">2016-10-18T17:53:30Z</dcterms:created>
  <dcterms:modified xsi:type="dcterms:W3CDTF">2017-01-04T17:10:58Z</dcterms:modified>
</cp:coreProperties>
</file>